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drawings/drawing2.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200" yWindow="225" windowWidth="8700" windowHeight="6540" tabRatio="693" activeTab="2"/>
  </bookViews>
  <sheets>
    <sheet name="Readme" sheetId="31" r:id="rId1"/>
    <sheet name="LogofChanges" sheetId="32" r:id="rId2"/>
    <sheet name="Financial charts" sheetId="24" r:id="rId3"/>
    <sheet name="Non-Financial charts" sheetId="25" r:id="rId4"/>
    <sheet name="Analysis" sheetId="8" r:id="rId5"/>
    <sheet name="Total cost" sheetId="28" r:id="rId6"/>
    <sheet name="Asset cost" sheetId="22" r:id="rId7"/>
    <sheet name="RAB" sheetId="7" r:id="rId8"/>
    <sheet name="Opex" sheetId="4" r:id="rId9"/>
    <sheet name="Depreciation" sheetId="27" r:id="rId10"/>
    <sheet name="Capex" sheetId="1" r:id="rId11"/>
    <sheet name="Zonesubstationtransformation" sheetId="30" r:id="rId12"/>
    <sheet name="CPI" sheetId="2" r:id="rId13"/>
    <sheet name="Reliability" sheetId="6" r:id="rId14"/>
    <sheet name="Physical data" sheetId="5" r:id="rId15"/>
    <sheet name="State Charts and data" sheetId="35"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_GoBack" localSheetId="0">Readme!$A$15</definedName>
    <definedName name="_Ref390772024" localSheetId="14">'Physical data'!#REF!</definedName>
    <definedName name="Capex_base" localSheetId="6">'Asset cost'!#REF!</definedName>
    <definedName name="Capex_base" localSheetId="9">Depreciation!#REF!</definedName>
    <definedName name="Capex_base" localSheetId="8">Opex!#REF!</definedName>
    <definedName name="Capex_base" localSheetId="7">CPI!$E$6</definedName>
    <definedName name="Capex_base">Capex!#REF!</definedName>
    <definedName name="Capex_Base_Index" localSheetId="6">'Asset cost'!#REF!</definedName>
    <definedName name="Capex_Base_Index" localSheetId="9">Depreciation!#REF!</definedName>
    <definedName name="Capex_Base_Index" localSheetId="8">Opex!#REF!</definedName>
    <definedName name="Capex_Base_Index" localSheetId="7">CPI!$E$8</definedName>
    <definedName name="Capex_Base_Index">Capex!#REF!</definedName>
    <definedName name="Capex_Years">[1]Capex!$C$1:$CZ$1</definedName>
    <definedName name="currency_base">CPI!$E$8</definedName>
    <definedName name="Real_year">CPI!$E$6</definedName>
    <definedName name="RemovingHVAssets">Zonesubstationtransformation!#REF!</definedName>
  </definedNames>
  <calcPr calcId="145621" calcMode="manual"/>
</workbook>
</file>

<file path=xl/calcChain.xml><?xml version="1.0" encoding="utf-8"?>
<calcChain xmlns="http://schemas.openxmlformats.org/spreadsheetml/2006/main">
  <c r="K15" i="4" l="1"/>
  <c r="M22" i="7" l="1"/>
  <c r="M21" i="7"/>
  <c r="M20" i="7"/>
  <c r="M18" i="7"/>
  <c r="M17" i="7"/>
  <c r="M12" i="7"/>
  <c r="M10" i="7"/>
  <c r="B2" i="22" l="1"/>
  <c r="M120" i="5" l="1"/>
  <c r="M119" i="5"/>
  <c r="M118" i="5"/>
  <c r="M117" i="5"/>
  <c r="M116" i="5"/>
  <c r="M115" i="5"/>
  <c r="M114" i="5"/>
  <c r="M113" i="5"/>
  <c r="M112" i="5"/>
  <c r="M111" i="5"/>
  <c r="M110" i="5"/>
  <c r="M109" i="5"/>
  <c r="M108" i="5"/>
  <c r="L120" i="5"/>
  <c r="L119" i="5"/>
  <c r="L118" i="5"/>
  <c r="L117" i="5"/>
  <c r="L116" i="5"/>
  <c r="L115" i="5"/>
  <c r="L114" i="5"/>
  <c r="L113" i="5"/>
  <c r="L112" i="5"/>
  <c r="L111" i="5"/>
  <c r="L110" i="5"/>
  <c r="L109" i="5"/>
  <c r="L108" i="5"/>
  <c r="M105" i="5"/>
  <c r="M90" i="5" s="1"/>
  <c r="M104" i="5"/>
  <c r="M89" i="5" s="1"/>
  <c r="M74" i="35" s="1"/>
  <c r="M103" i="5"/>
  <c r="M88" i="5" s="1"/>
  <c r="M102" i="5"/>
  <c r="M87" i="5" s="1"/>
  <c r="M73" i="35" s="1"/>
  <c r="M101" i="5"/>
  <c r="M86" i="5" s="1"/>
  <c r="M100" i="5"/>
  <c r="M85" i="5" s="1"/>
  <c r="M99" i="5"/>
  <c r="M84" i="5" s="1"/>
  <c r="M98" i="5"/>
  <c r="M83" i="5" s="1"/>
  <c r="M97" i="5"/>
  <c r="M82" i="5" s="1"/>
  <c r="M96" i="5"/>
  <c r="M81" i="5" s="1"/>
  <c r="M95" i="5"/>
  <c r="M80" i="5" s="1"/>
  <c r="M94" i="5"/>
  <c r="M93" i="5"/>
  <c r="M78" i="5" s="1"/>
  <c r="M70" i="35" s="1"/>
  <c r="M79" i="5"/>
  <c r="M75" i="5"/>
  <c r="M74" i="5"/>
  <c r="M73" i="5"/>
  <c r="M72" i="5"/>
  <c r="M71" i="5"/>
  <c r="M70" i="5"/>
  <c r="M69" i="5"/>
  <c r="M68" i="5"/>
  <c r="M67" i="5"/>
  <c r="M66" i="5"/>
  <c r="M65" i="5"/>
  <c r="M64" i="5"/>
  <c r="M63" i="5"/>
  <c r="M60" i="5"/>
  <c r="M59" i="5"/>
  <c r="M54" i="35" s="1"/>
  <c r="M58" i="5"/>
  <c r="M57" i="5"/>
  <c r="M53" i="35" s="1"/>
  <c r="M56" i="5"/>
  <c r="M55" i="5"/>
  <c r="M54" i="5"/>
  <c r="M53" i="5"/>
  <c r="M52" i="5"/>
  <c r="M51" i="5"/>
  <c r="M50" i="5"/>
  <c r="M49" i="5"/>
  <c r="M48" i="5"/>
  <c r="M50" i="35" s="1"/>
  <c r="M45" i="5"/>
  <c r="M44" i="5"/>
  <c r="M43" i="5"/>
  <c r="M42" i="5"/>
  <c r="M41" i="5"/>
  <c r="M40" i="5"/>
  <c r="M39" i="5"/>
  <c r="M38" i="5"/>
  <c r="M37" i="5"/>
  <c r="M36" i="5"/>
  <c r="M35" i="5"/>
  <c r="M34" i="5"/>
  <c r="M33" i="5"/>
  <c r="M30" i="5"/>
  <c r="M29" i="5"/>
  <c r="M35" i="35" s="1"/>
  <c r="M28" i="5"/>
  <c r="M27" i="5"/>
  <c r="M34" i="35" s="1"/>
  <c r="M26" i="5"/>
  <c r="M25" i="5"/>
  <c r="M24" i="5"/>
  <c r="M23" i="5"/>
  <c r="M22" i="5"/>
  <c r="M21" i="5"/>
  <c r="M20" i="5"/>
  <c r="M19" i="5"/>
  <c r="M18" i="5"/>
  <c r="M31" i="35" s="1"/>
  <c r="M14" i="5"/>
  <c r="M13" i="5"/>
  <c r="M12" i="5"/>
  <c r="M11" i="5"/>
  <c r="M10" i="5"/>
  <c r="M9" i="5"/>
  <c r="M8" i="5"/>
  <c r="M7" i="5"/>
  <c r="M6" i="5"/>
  <c r="M5" i="5"/>
  <c r="M4" i="5"/>
  <c r="M3" i="5"/>
  <c r="K120" i="5"/>
  <c r="K119" i="5"/>
  <c r="K118" i="5"/>
  <c r="K117" i="5"/>
  <c r="K116" i="5"/>
  <c r="K115" i="5"/>
  <c r="K114" i="5"/>
  <c r="K113" i="5"/>
  <c r="K112" i="5"/>
  <c r="K111" i="5"/>
  <c r="K110" i="5"/>
  <c r="K109" i="5"/>
  <c r="K108" i="5"/>
  <c r="L105" i="5"/>
  <c r="K105" i="5"/>
  <c r="L104" i="5"/>
  <c r="K104" i="5"/>
  <c r="L103" i="5"/>
  <c r="K103" i="5"/>
  <c r="L102" i="5"/>
  <c r="K102" i="5"/>
  <c r="L101" i="5"/>
  <c r="K101" i="5"/>
  <c r="L100" i="5"/>
  <c r="K100" i="5"/>
  <c r="L99" i="5"/>
  <c r="K99" i="5"/>
  <c r="L98" i="5"/>
  <c r="K98" i="5"/>
  <c r="L97" i="5"/>
  <c r="K97" i="5"/>
  <c r="L96" i="5"/>
  <c r="K96" i="5"/>
  <c r="L95" i="5"/>
  <c r="K95" i="5"/>
  <c r="L94" i="5"/>
  <c r="K94" i="5"/>
  <c r="L93" i="5"/>
  <c r="K93" i="5"/>
  <c r="L75" i="5"/>
  <c r="K75" i="5"/>
  <c r="L74" i="5"/>
  <c r="K74" i="5"/>
  <c r="L73" i="5"/>
  <c r="K73" i="5"/>
  <c r="L72" i="5"/>
  <c r="K72" i="5"/>
  <c r="L71" i="5"/>
  <c r="K71" i="5"/>
  <c r="L70" i="5"/>
  <c r="K70" i="5"/>
  <c r="L69" i="5"/>
  <c r="L68" i="5"/>
  <c r="K68" i="5"/>
  <c r="L67" i="5"/>
  <c r="K67" i="5"/>
  <c r="L66" i="5"/>
  <c r="K66" i="5"/>
  <c r="L65" i="5"/>
  <c r="K65" i="5"/>
  <c r="L64" i="5"/>
  <c r="K64" i="5"/>
  <c r="L63" i="5"/>
  <c r="K63" i="5"/>
  <c r="L60" i="5"/>
  <c r="K60" i="5"/>
  <c r="L59" i="5"/>
  <c r="L54" i="35" s="1"/>
  <c r="K59" i="5"/>
  <c r="K54" i="35" s="1"/>
  <c r="L58" i="5"/>
  <c r="K58" i="5"/>
  <c r="L57" i="5"/>
  <c r="L53" i="35" s="1"/>
  <c r="K57" i="5"/>
  <c r="K53" i="35" s="1"/>
  <c r="L56" i="5"/>
  <c r="K56" i="5"/>
  <c r="L55" i="5"/>
  <c r="K55" i="5"/>
  <c r="L54" i="5"/>
  <c r="K54" i="5"/>
  <c r="L53" i="5"/>
  <c r="K53" i="5"/>
  <c r="L52" i="5"/>
  <c r="L52" i="35" s="1"/>
  <c r="K52" i="5"/>
  <c r="K52" i="35" s="1"/>
  <c r="L51" i="5"/>
  <c r="K51" i="5"/>
  <c r="L50" i="5"/>
  <c r="L55" i="35" s="1"/>
  <c r="K50" i="5"/>
  <c r="K55" i="35" s="1"/>
  <c r="L49" i="5"/>
  <c r="L51" i="35" s="1"/>
  <c r="K49" i="5"/>
  <c r="K51" i="35" s="1"/>
  <c r="L48" i="5"/>
  <c r="L50" i="35" s="1"/>
  <c r="K48" i="5"/>
  <c r="K50" i="35" s="1"/>
  <c r="L45" i="5"/>
  <c r="K45" i="5"/>
  <c r="L44" i="5"/>
  <c r="K44" i="5"/>
  <c r="L43" i="5"/>
  <c r="K43" i="5"/>
  <c r="L42" i="5"/>
  <c r="K42" i="5"/>
  <c r="L41" i="5"/>
  <c r="K41" i="5"/>
  <c r="L40" i="5"/>
  <c r="K40" i="5"/>
  <c r="L39" i="5"/>
  <c r="K39" i="5"/>
  <c r="L38" i="5"/>
  <c r="K38" i="5"/>
  <c r="L37" i="5"/>
  <c r="K37" i="5"/>
  <c r="L36" i="5"/>
  <c r="K36" i="5"/>
  <c r="L35" i="5"/>
  <c r="K35" i="5"/>
  <c r="L34" i="5"/>
  <c r="K34" i="5"/>
  <c r="L33" i="5"/>
  <c r="K33" i="5"/>
  <c r="L30" i="5"/>
  <c r="K30" i="5"/>
  <c r="L29" i="5"/>
  <c r="L35" i="35" s="1"/>
  <c r="K29" i="5"/>
  <c r="K35" i="35" s="1"/>
  <c r="L28" i="5"/>
  <c r="K28" i="5"/>
  <c r="L27" i="5"/>
  <c r="L34" i="35" s="1"/>
  <c r="K27" i="5"/>
  <c r="K34" i="35" s="1"/>
  <c r="L26" i="5"/>
  <c r="K26" i="5"/>
  <c r="L25" i="5"/>
  <c r="K25" i="5"/>
  <c r="L24" i="5"/>
  <c r="K24" i="5"/>
  <c r="L23" i="5"/>
  <c r="K23" i="5"/>
  <c r="L22" i="5"/>
  <c r="K22" i="5"/>
  <c r="L21" i="5"/>
  <c r="K21" i="5"/>
  <c r="L20" i="5"/>
  <c r="L36" i="35" s="1"/>
  <c r="K20" i="5"/>
  <c r="K36" i="35" s="1"/>
  <c r="L19" i="5"/>
  <c r="L32" i="35" s="1"/>
  <c r="K19" i="5"/>
  <c r="K32" i="35" s="1"/>
  <c r="L18" i="5"/>
  <c r="L31" i="35" s="1"/>
  <c r="K18" i="5"/>
  <c r="K31" i="35" s="1"/>
  <c r="L14" i="5"/>
  <c r="K14" i="5"/>
  <c r="L13" i="5"/>
  <c r="K13" i="5"/>
  <c r="L12" i="5"/>
  <c r="K12" i="5"/>
  <c r="L11" i="5"/>
  <c r="K11" i="5"/>
  <c r="L10" i="5"/>
  <c r="K10" i="5"/>
  <c r="L9" i="5"/>
  <c r="K9" i="5"/>
  <c r="L8" i="5"/>
  <c r="K8" i="5"/>
  <c r="L7" i="5"/>
  <c r="K7" i="5"/>
  <c r="L6" i="5"/>
  <c r="K6" i="5"/>
  <c r="L5" i="5"/>
  <c r="K5" i="5"/>
  <c r="L4" i="5"/>
  <c r="K4" i="5"/>
  <c r="L3" i="5"/>
  <c r="K3" i="5"/>
  <c r="M30" i="6"/>
  <c r="M29" i="6"/>
  <c r="M28" i="6"/>
  <c r="M27" i="6"/>
  <c r="M26" i="6"/>
  <c r="M25" i="6"/>
  <c r="M24" i="6"/>
  <c r="M23" i="6"/>
  <c r="M22" i="6"/>
  <c r="M21" i="6"/>
  <c r="M20" i="6"/>
  <c r="M19" i="6"/>
  <c r="M18" i="6"/>
  <c r="M4" i="6"/>
  <c r="M34" i="6" s="1"/>
  <c r="M15" i="6"/>
  <c r="M14" i="6"/>
  <c r="M44" i="6" s="1"/>
  <c r="M13" i="6"/>
  <c r="M43" i="6" s="1"/>
  <c r="M12" i="6"/>
  <c r="M11" i="6"/>
  <c r="M41" i="6" s="1"/>
  <c r="M10" i="6"/>
  <c r="M40" i="6" s="1"/>
  <c r="M9" i="6"/>
  <c r="M39" i="6" s="1"/>
  <c r="M8" i="6"/>
  <c r="M38" i="6" s="1"/>
  <c r="M7" i="6"/>
  <c r="M37" i="6" s="1"/>
  <c r="M6" i="6"/>
  <c r="M36" i="6" s="1"/>
  <c r="M5" i="6"/>
  <c r="M35" i="6" s="1"/>
  <c r="M3" i="6"/>
  <c r="M85" i="30"/>
  <c r="M82" i="30"/>
  <c r="M81" i="30"/>
  <c r="M80" i="30"/>
  <c r="M79" i="30"/>
  <c r="M77" i="30"/>
  <c r="M65" i="30"/>
  <c r="M60" i="30"/>
  <c r="M68" i="30"/>
  <c r="M64" i="30"/>
  <c r="M63" i="30"/>
  <c r="M62" i="30"/>
  <c r="M37" i="30"/>
  <c r="M36" i="30"/>
  <c r="M35" i="30"/>
  <c r="M34" i="30"/>
  <c r="M33" i="30"/>
  <c r="M32" i="30"/>
  <c r="M31" i="30"/>
  <c r="M30" i="30"/>
  <c r="M29" i="30"/>
  <c r="M28" i="30"/>
  <c r="M27" i="30"/>
  <c r="M26" i="30"/>
  <c r="M25" i="30"/>
  <c r="M20" i="30"/>
  <c r="M19" i="30"/>
  <c r="M18" i="30"/>
  <c r="M17" i="30"/>
  <c r="M16" i="30"/>
  <c r="M15" i="30"/>
  <c r="M14" i="30"/>
  <c r="M13" i="30"/>
  <c r="M12" i="30"/>
  <c r="M11" i="30"/>
  <c r="M10" i="30"/>
  <c r="M9" i="30"/>
  <c r="M8" i="30"/>
  <c r="M22" i="1"/>
  <c r="M38" i="1" s="1"/>
  <c r="M16" i="1"/>
  <c r="M32" i="1" s="1"/>
  <c r="M11" i="1"/>
  <c r="M27" i="1" s="1"/>
  <c r="M21" i="1"/>
  <c r="M37" i="1" s="1"/>
  <c r="M20" i="1"/>
  <c r="M36" i="1" s="1"/>
  <c r="M19" i="1"/>
  <c r="M35" i="1" s="1"/>
  <c r="M18" i="1"/>
  <c r="M34" i="1" s="1"/>
  <c r="M17" i="1"/>
  <c r="M33" i="1" s="1"/>
  <c r="M15" i="1"/>
  <c r="M31" i="1" s="1"/>
  <c r="M14" i="1"/>
  <c r="M30" i="1" s="1"/>
  <c r="M13" i="1"/>
  <c r="M29" i="1" s="1"/>
  <c r="M12" i="1"/>
  <c r="M28" i="1" s="1"/>
  <c r="M10" i="1"/>
  <c r="M26" i="1" s="1"/>
  <c r="L2" i="1"/>
  <c r="M2" i="1"/>
  <c r="L3" i="1"/>
  <c r="M3" i="1"/>
  <c r="M22" i="27"/>
  <c r="M38" i="27" s="1"/>
  <c r="M21" i="27"/>
  <c r="M37" i="27" s="1"/>
  <c r="M20" i="27"/>
  <c r="M36" i="27" s="1"/>
  <c r="M18" i="27"/>
  <c r="M34" i="27" s="1"/>
  <c r="M17" i="27"/>
  <c r="M33" i="27" s="1"/>
  <c r="M12" i="27"/>
  <c r="M28" i="27" s="1"/>
  <c r="M10" i="27"/>
  <c r="M26" i="27" s="1"/>
  <c r="L2" i="27"/>
  <c r="M2" i="27"/>
  <c r="L3" i="27"/>
  <c r="M3" i="27"/>
  <c r="M44" i="4"/>
  <c r="M32" i="35" l="1"/>
  <c r="M33" i="35"/>
  <c r="M51" i="35"/>
  <c r="M75" i="35"/>
  <c r="L33" i="35"/>
  <c r="M72" i="35"/>
  <c r="M42" i="30"/>
  <c r="M44" i="30"/>
  <c r="M46" i="30"/>
  <c r="AC63" i="30" s="1"/>
  <c r="M14" i="7" s="1"/>
  <c r="M48" i="30"/>
  <c r="M50" i="30"/>
  <c r="M52" i="30"/>
  <c r="M54" i="30"/>
  <c r="M45" i="30"/>
  <c r="M47" i="30"/>
  <c r="AC64" i="30" s="1"/>
  <c r="M15" i="7" s="1"/>
  <c r="M49" i="30"/>
  <c r="M51" i="30"/>
  <c r="AC68" i="30" s="1"/>
  <c r="M19" i="7" s="1"/>
  <c r="M53" i="30"/>
  <c r="M33" i="6"/>
  <c r="M45" i="6"/>
  <c r="K33" i="35"/>
  <c r="M36" i="35"/>
  <c r="M55" i="35"/>
  <c r="M52" i="35"/>
  <c r="M71" i="35"/>
  <c r="M43" i="30"/>
  <c r="M124" i="5"/>
  <c r="M126" i="5"/>
  <c r="M128" i="5"/>
  <c r="M130" i="5"/>
  <c r="M132" i="5"/>
  <c r="M134" i="5"/>
  <c r="AC80" i="30"/>
  <c r="M14" i="27" s="1"/>
  <c r="M30" i="27" s="1"/>
  <c r="AC82" i="30"/>
  <c r="M16" i="27" s="1"/>
  <c r="M32" i="27" s="1"/>
  <c r="AC65" i="30"/>
  <c r="M16" i="7" s="1"/>
  <c r="AC79" i="30"/>
  <c r="M13" i="27" s="1"/>
  <c r="M29" i="27" s="1"/>
  <c r="AC62" i="30"/>
  <c r="M13" i="7" s="1"/>
  <c r="AC77" i="30"/>
  <c r="M11" i="27" s="1"/>
  <c r="M27" i="27" s="1"/>
  <c r="AC60" i="30"/>
  <c r="M11" i="7" s="1"/>
  <c r="M42" i="6"/>
  <c r="M135" i="5"/>
  <c r="T15" i="5"/>
  <c r="M123" i="5"/>
  <c r="M125" i="5"/>
  <c r="M127" i="5"/>
  <c r="M129" i="5"/>
  <c r="M131" i="5"/>
  <c r="M133" i="5"/>
  <c r="M14" i="4"/>
  <c r="L14" i="4"/>
  <c r="AC85" i="30" l="1"/>
  <c r="M19" i="27" s="1"/>
  <c r="M35" i="27" s="1"/>
  <c r="AC81" i="30"/>
  <c r="M15" i="27" s="1"/>
  <c r="M31" i="27" s="1"/>
  <c r="M15" i="4"/>
  <c r="M22" i="4"/>
  <c r="M38" i="4" s="1"/>
  <c r="M21" i="4"/>
  <c r="M20" i="4"/>
  <c r="M19" i="4"/>
  <c r="M18" i="4"/>
  <c r="M17" i="4"/>
  <c r="M16" i="4"/>
  <c r="M13" i="4"/>
  <c r="M11" i="4"/>
  <c r="M10" i="4"/>
  <c r="L2" i="4"/>
  <c r="M2" i="4"/>
  <c r="L3" i="4"/>
  <c r="M3" i="4"/>
  <c r="M30" i="4" s="1"/>
  <c r="M35" i="7"/>
  <c r="M32" i="7"/>
  <c r="M31" i="7"/>
  <c r="M30" i="7"/>
  <c r="M29" i="7"/>
  <c r="M27" i="7"/>
  <c r="M38" i="7"/>
  <c r="M37" i="7"/>
  <c r="M36" i="7"/>
  <c r="M34" i="7"/>
  <c r="M33" i="7"/>
  <c r="M28" i="7"/>
  <c r="M26" i="7"/>
  <c r="L10" i="7"/>
  <c r="L2" i="7"/>
  <c r="M2" i="7"/>
  <c r="L3" i="7"/>
  <c r="M3" i="7"/>
  <c r="P5" i="2"/>
  <c r="P4" i="2"/>
  <c r="P3" i="2"/>
  <c r="O5" i="2"/>
  <c r="O4" i="2"/>
  <c r="O3" i="2"/>
  <c r="E7" i="2"/>
  <c r="E8" i="2" s="1"/>
  <c r="O9" i="2" s="1"/>
  <c r="M26" i="4" l="1"/>
  <c r="M28" i="4"/>
  <c r="M32" i="4"/>
  <c r="M34" i="4"/>
  <c r="M36" i="4"/>
  <c r="M31" i="4"/>
  <c r="M27" i="4"/>
  <c r="M29" i="4"/>
  <c r="M33" i="4"/>
  <c r="M35" i="4"/>
  <c r="M37" i="4"/>
  <c r="P10" i="2"/>
  <c r="P9" i="2"/>
  <c r="O10" i="2"/>
  <c r="L10" i="4" l="1"/>
  <c r="K10" i="4"/>
  <c r="J10" i="4"/>
  <c r="I10" i="4"/>
  <c r="H10" i="4"/>
  <c r="G10" i="4"/>
  <c r="F10" i="4"/>
  <c r="E10" i="4"/>
  <c r="D10" i="4"/>
  <c r="C10" i="4"/>
  <c r="J15" i="4" l="1"/>
  <c r="I15" i="4"/>
  <c r="H15" i="4"/>
  <c r="G15" i="4"/>
  <c r="F15" i="4"/>
  <c r="E15" i="4"/>
  <c r="D15" i="4"/>
  <c r="C15" i="4"/>
  <c r="L17" i="30"/>
  <c r="L34" i="30"/>
  <c r="L102" i="30"/>
  <c r="K17" i="30"/>
  <c r="K34" i="30"/>
  <c r="K102" i="30"/>
  <c r="D17" i="30"/>
  <c r="D34" i="30"/>
  <c r="D102" i="30"/>
  <c r="E17" i="30"/>
  <c r="E34" i="30"/>
  <c r="E102" i="30"/>
  <c r="F17" i="30"/>
  <c r="F34" i="30"/>
  <c r="F102" i="30"/>
  <c r="G17" i="30"/>
  <c r="G34" i="30"/>
  <c r="G102" i="30"/>
  <c r="H17" i="30"/>
  <c r="H34" i="30"/>
  <c r="H102" i="30"/>
  <c r="I17" i="30"/>
  <c r="I34" i="30"/>
  <c r="I102" i="30"/>
  <c r="J17" i="30"/>
  <c r="J34" i="30"/>
  <c r="J102" i="30"/>
  <c r="C17" i="30"/>
  <c r="C34" i="30"/>
  <c r="C102" i="30"/>
  <c r="L14" i="30"/>
  <c r="L31" i="30"/>
  <c r="L99" i="30"/>
  <c r="K14" i="30"/>
  <c r="K31" i="30"/>
  <c r="K99" i="30"/>
  <c r="D14" i="30"/>
  <c r="D31" i="30"/>
  <c r="D99" i="30"/>
  <c r="E14" i="30"/>
  <c r="E31" i="30"/>
  <c r="E99" i="30"/>
  <c r="F14" i="30"/>
  <c r="F31" i="30"/>
  <c r="F99" i="30"/>
  <c r="G14" i="30"/>
  <c r="G31" i="30"/>
  <c r="G99" i="30"/>
  <c r="H14" i="30"/>
  <c r="H31" i="30"/>
  <c r="H99" i="30"/>
  <c r="I14" i="30"/>
  <c r="I31" i="30"/>
  <c r="I99" i="30"/>
  <c r="J14" i="30"/>
  <c r="J31" i="30"/>
  <c r="J99" i="30"/>
  <c r="C14" i="30"/>
  <c r="C31" i="30"/>
  <c r="C99" i="30"/>
  <c r="L13" i="30"/>
  <c r="L30" i="30"/>
  <c r="L98" i="30"/>
  <c r="L12" i="30"/>
  <c r="L29" i="30"/>
  <c r="L97" i="30"/>
  <c r="K12" i="30"/>
  <c r="K29" i="30"/>
  <c r="K97" i="30"/>
  <c r="D12" i="30"/>
  <c r="D29" i="30"/>
  <c r="D97" i="30"/>
  <c r="E12" i="30"/>
  <c r="E29" i="30"/>
  <c r="E97" i="30"/>
  <c r="F12" i="30"/>
  <c r="F29" i="30"/>
  <c r="F97" i="30"/>
  <c r="G12" i="30"/>
  <c r="G29" i="30"/>
  <c r="G97" i="30"/>
  <c r="H12" i="30"/>
  <c r="H29" i="30"/>
  <c r="H97" i="30"/>
  <c r="I12" i="30"/>
  <c r="I29" i="30"/>
  <c r="I97" i="30"/>
  <c r="J12" i="30"/>
  <c r="J29" i="30"/>
  <c r="J97" i="30"/>
  <c r="C12" i="30"/>
  <c r="C29" i="30"/>
  <c r="C97" i="30"/>
  <c r="L11" i="30"/>
  <c r="L28" i="30"/>
  <c r="L96" i="30"/>
  <c r="K11" i="30"/>
  <c r="K28" i="30"/>
  <c r="K96" i="30"/>
  <c r="D11" i="30"/>
  <c r="D28" i="30"/>
  <c r="D96" i="30"/>
  <c r="E11" i="30"/>
  <c r="E28" i="30"/>
  <c r="E96" i="30"/>
  <c r="F11" i="30"/>
  <c r="F28" i="30"/>
  <c r="F96" i="30"/>
  <c r="G11" i="30"/>
  <c r="G28" i="30"/>
  <c r="G96" i="30"/>
  <c r="H11" i="30"/>
  <c r="H28" i="30"/>
  <c r="H96" i="30"/>
  <c r="I11" i="30"/>
  <c r="I28" i="30"/>
  <c r="I96" i="30"/>
  <c r="J11" i="30"/>
  <c r="J28" i="30"/>
  <c r="J96" i="30"/>
  <c r="C11" i="30"/>
  <c r="C28" i="30"/>
  <c r="C96" i="30"/>
  <c r="L9" i="30"/>
  <c r="L26" i="30"/>
  <c r="L94" i="30"/>
  <c r="K9" i="30"/>
  <c r="K26" i="30"/>
  <c r="K94" i="30"/>
  <c r="D9" i="30"/>
  <c r="D26" i="30"/>
  <c r="D94" i="30"/>
  <c r="E9" i="30"/>
  <c r="E26" i="30"/>
  <c r="E94" i="30"/>
  <c r="F9" i="30"/>
  <c r="F26" i="30"/>
  <c r="F94" i="30"/>
  <c r="G9" i="30"/>
  <c r="G26" i="30"/>
  <c r="G94" i="30"/>
  <c r="H9" i="30"/>
  <c r="H26" i="30"/>
  <c r="H94" i="30"/>
  <c r="I9" i="30"/>
  <c r="I26" i="30"/>
  <c r="I94" i="30"/>
  <c r="J9" i="30"/>
  <c r="J26" i="30"/>
  <c r="J94" i="30"/>
  <c r="C9" i="30"/>
  <c r="C26" i="30"/>
  <c r="C94" i="30"/>
  <c r="L85" i="30"/>
  <c r="K85" i="30"/>
  <c r="D85" i="30"/>
  <c r="E85" i="30"/>
  <c r="F85" i="30"/>
  <c r="G85" i="30"/>
  <c r="H85" i="30"/>
  <c r="I85" i="30"/>
  <c r="J85" i="30"/>
  <c r="C85" i="30"/>
  <c r="L82" i="30"/>
  <c r="K82" i="30"/>
  <c r="D82" i="30"/>
  <c r="E82" i="30"/>
  <c r="F82" i="30"/>
  <c r="G82" i="30"/>
  <c r="H82" i="30"/>
  <c r="I82" i="30"/>
  <c r="J82" i="30"/>
  <c r="C82" i="30"/>
  <c r="L81" i="30"/>
  <c r="L80" i="30"/>
  <c r="K80" i="30"/>
  <c r="D80" i="30"/>
  <c r="E80" i="30"/>
  <c r="F80" i="30"/>
  <c r="G80" i="30"/>
  <c r="H80" i="30"/>
  <c r="I80" i="30"/>
  <c r="J80" i="30"/>
  <c r="C80" i="30"/>
  <c r="L79" i="30"/>
  <c r="K79" i="30"/>
  <c r="D79" i="30"/>
  <c r="E79" i="30"/>
  <c r="F79" i="30"/>
  <c r="G79" i="30"/>
  <c r="H79" i="30"/>
  <c r="I79" i="30"/>
  <c r="J79" i="30"/>
  <c r="C79" i="30"/>
  <c r="L77" i="30"/>
  <c r="K77" i="30"/>
  <c r="D77" i="30"/>
  <c r="E77" i="30"/>
  <c r="F77" i="30"/>
  <c r="G77" i="30"/>
  <c r="H77" i="30"/>
  <c r="I77" i="30"/>
  <c r="J77" i="30"/>
  <c r="C77" i="30"/>
  <c r="L68" i="30"/>
  <c r="L20" i="7"/>
  <c r="K68" i="30"/>
  <c r="D68" i="30"/>
  <c r="E68" i="30"/>
  <c r="F68" i="30"/>
  <c r="G68" i="30"/>
  <c r="H68" i="30"/>
  <c r="I68" i="30"/>
  <c r="J68" i="30"/>
  <c r="C68" i="30"/>
  <c r="L65" i="30"/>
  <c r="K65" i="30"/>
  <c r="D65" i="30"/>
  <c r="E65" i="30"/>
  <c r="F65" i="30"/>
  <c r="G65" i="30"/>
  <c r="H65" i="30"/>
  <c r="I65" i="30"/>
  <c r="J65" i="30"/>
  <c r="C65" i="30"/>
  <c r="L64" i="30"/>
  <c r="L63" i="30"/>
  <c r="K63" i="30"/>
  <c r="D63" i="30"/>
  <c r="E63" i="30"/>
  <c r="F63" i="30"/>
  <c r="G63" i="30"/>
  <c r="H63" i="30"/>
  <c r="I63" i="30"/>
  <c r="J63" i="30"/>
  <c r="C63" i="30"/>
  <c r="L62" i="30"/>
  <c r="K62" i="30"/>
  <c r="D62" i="30"/>
  <c r="E62" i="30"/>
  <c r="F62" i="30"/>
  <c r="G62" i="30"/>
  <c r="H62" i="30"/>
  <c r="I62" i="30"/>
  <c r="J62" i="30"/>
  <c r="C62" i="30"/>
  <c r="L60" i="30"/>
  <c r="K60" i="30"/>
  <c r="D60" i="30"/>
  <c r="E60" i="30"/>
  <c r="F60" i="30"/>
  <c r="G60" i="30"/>
  <c r="H60" i="30"/>
  <c r="I60" i="30"/>
  <c r="J60" i="30"/>
  <c r="C60" i="30"/>
  <c r="C10" i="7"/>
  <c r="D10" i="7"/>
  <c r="E10" i="7"/>
  <c r="F10" i="7"/>
  <c r="G10" i="7"/>
  <c r="H10" i="7"/>
  <c r="I10" i="7"/>
  <c r="J10" i="7"/>
  <c r="K10" i="7"/>
  <c r="K98" i="30"/>
  <c r="K81" i="30"/>
  <c r="K64" i="30"/>
  <c r="D98" i="30"/>
  <c r="E98" i="30"/>
  <c r="F98" i="30"/>
  <c r="G98" i="30"/>
  <c r="H98" i="30"/>
  <c r="I98" i="30"/>
  <c r="J98" i="30"/>
  <c r="C98" i="30"/>
  <c r="D81" i="30"/>
  <c r="E81" i="30"/>
  <c r="F81" i="30"/>
  <c r="G81" i="30"/>
  <c r="H81" i="30"/>
  <c r="I81" i="30"/>
  <c r="J81" i="30"/>
  <c r="C81" i="30"/>
  <c r="D64" i="30"/>
  <c r="E64" i="30"/>
  <c r="F64" i="30"/>
  <c r="G64" i="30"/>
  <c r="H64" i="30"/>
  <c r="I64" i="30"/>
  <c r="J64" i="30"/>
  <c r="C64" i="30"/>
  <c r="D36" i="30"/>
  <c r="E36" i="30"/>
  <c r="F36" i="30"/>
  <c r="G36" i="30"/>
  <c r="H36" i="30"/>
  <c r="I36" i="30"/>
  <c r="J36" i="30"/>
  <c r="D37" i="30"/>
  <c r="E37" i="30"/>
  <c r="F37" i="30"/>
  <c r="G37" i="30"/>
  <c r="H37" i="30"/>
  <c r="I37" i="30"/>
  <c r="J37" i="30"/>
  <c r="C37" i="30"/>
  <c r="C36" i="30"/>
  <c r="D33" i="30"/>
  <c r="E33" i="30"/>
  <c r="F33" i="30"/>
  <c r="G33" i="30"/>
  <c r="H33" i="30"/>
  <c r="I33" i="30"/>
  <c r="J33" i="30"/>
  <c r="D35" i="30"/>
  <c r="E35" i="30"/>
  <c r="F35" i="30"/>
  <c r="G35" i="30"/>
  <c r="H35" i="30"/>
  <c r="I35" i="30"/>
  <c r="J35" i="30"/>
  <c r="C35" i="30"/>
  <c r="C33" i="30"/>
  <c r="D32" i="30"/>
  <c r="E32" i="30"/>
  <c r="F32" i="30"/>
  <c r="G32" i="30"/>
  <c r="H32" i="30"/>
  <c r="I32" i="30"/>
  <c r="J32" i="30"/>
  <c r="C32" i="30"/>
  <c r="D30" i="30"/>
  <c r="E30" i="30"/>
  <c r="F30" i="30"/>
  <c r="G30" i="30"/>
  <c r="H30" i="30"/>
  <c r="I30" i="30"/>
  <c r="J30" i="30"/>
  <c r="C30" i="30"/>
  <c r="D27" i="30"/>
  <c r="E27" i="30"/>
  <c r="F27" i="30"/>
  <c r="G27" i="30"/>
  <c r="H27" i="30"/>
  <c r="I27" i="30"/>
  <c r="J27" i="30"/>
  <c r="C27" i="30"/>
  <c r="L37" i="30"/>
  <c r="K37" i="30"/>
  <c r="L36" i="30"/>
  <c r="K36" i="30"/>
  <c r="L35" i="30"/>
  <c r="K35" i="30"/>
  <c r="L33" i="30"/>
  <c r="K33" i="30"/>
  <c r="L32" i="30"/>
  <c r="K32" i="30"/>
  <c r="K30" i="30"/>
  <c r="L27" i="30"/>
  <c r="K27" i="30"/>
  <c r="L25" i="30"/>
  <c r="K25" i="30"/>
  <c r="D25" i="30"/>
  <c r="E25" i="30"/>
  <c r="F25" i="30"/>
  <c r="G25" i="30"/>
  <c r="H25" i="30"/>
  <c r="I25" i="30"/>
  <c r="J25" i="30"/>
  <c r="C25" i="30"/>
  <c r="C8" i="30"/>
  <c r="L20" i="30"/>
  <c r="L54" i="30" s="1"/>
  <c r="K20" i="30"/>
  <c r="K54" i="30" s="1"/>
  <c r="D20" i="30"/>
  <c r="E20" i="30"/>
  <c r="F20" i="30"/>
  <c r="G20" i="30"/>
  <c r="H20" i="30"/>
  <c r="I20" i="30"/>
  <c r="J20" i="30"/>
  <c r="C20" i="30"/>
  <c r="L19" i="30"/>
  <c r="L53" i="30" s="1"/>
  <c r="K19" i="30"/>
  <c r="K53" i="30" s="1"/>
  <c r="D19" i="30"/>
  <c r="D53" i="30" s="1"/>
  <c r="E19" i="30"/>
  <c r="E53" i="30" s="1"/>
  <c r="F19" i="30"/>
  <c r="F53" i="30" s="1"/>
  <c r="G19" i="30"/>
  <c r="G53" i="30" s="1"/>
  <c r="H19" i="30"/>
  <c r="H53" i="30" s="1"/>
  <c r="I19" i="30"/>
  <c r="I53" i="30" s="1"/>
  <c r="J19" i="30"/>
  <c r="J53" i="30" s="1"/>
  <c r="C19" i="30"/>
  <c r="C53" i="30" s="1"/>
  <c r="L18" i="30"/>
  <c r="L52" i="30" s="1"/>
  <c r="K18" i="30"/>
  <c r="K52" i="30" s="1"/>
  <c r="D18" i="30"/>
  <c r="E18" i="30"/>
  <c r="F18" i="30"/>
  <c r="G18" i="30"/>
  <c r="H18" i="30"/>
  <c r="I18" i="30"/>
  <c r="J18" i="30"/>
  <c r="C18" i="30"/>
  <c r="D16" i="30"/>
  <c r="D50" i="30" s="1"/>
  <c r="E16" i="30"/>
  <c r="E50" i="30" s="1"/>
  <c r="F16" i="30"/>
  <c r="F50" i="30" s="1"/>
  <c r="G16" i="30"/>
  <c r="G50" i="30" s="1"/>
  <c r="H16" i="30"/>
  <c r="H50" i="30" s="1"/>
  <c r="I16" i="30"/>
  <c r="I50" i="30" s="1"/>
  <c r="J16" i="30"/>
  <c r="J50" i="30" s="1"/>
  <c r="C16" i="30"/>
  <c r="C50" i="30" s="1"/>
  <c r="D15" i="30"/>
  <c r="D49" i="30" s="1"/>
  <c r="E15" i="30"/>
  <c r="E49" i="30" s="1"/>
  <c r="F15" i="30"/>
  <c r="F49" i="30" s="1"/>
  <c r="G15" i="30"/>
  <c r="G49" i="30" s="1"/>
  <c r="H15" i="30"/>
  <c r="H49" i="30" s="1"/>
  <c r="I15" i="30"/>
  <c r="I49" i="30" s="1"/>
  <c r="J15" i="30"/>
  <c r="J49" i="30" s="1"/>
  <c r="C15" i="30"/>
  <c r="C49" i="30" s="1"/>
  <c r="D13" i="30"/>
  <c r="D47" i="30" s="1"/>
  <c r="T98" i="30" s="1"/>
  <c r="D15" i="1" s="1"/>
  <c r="E13" i="30"/>
  <c r="E47" i="30" s="1"/>
  <c r="U98" i="30" s="1"/>
  <c r="E15" i="1" s="1"/>
  <c r="F13" i="30"/>
  <c r="F47" i="30" s="1"/>
  <c r="V98" i="30" s="1"/>
  <c r="F15" i="1" s="1"/>
  <c r="G13" i="30"/>
  <c r="G47" i="30" s="1"/>
  <c r="W98" i="30" s="1"/>
  <c r="G15" i="1" s="1"/>
  <c r="H13" i="30"/>
  <c r="H47" i="30" s="1"/>
  <c r="X98" i="30" s="1"/>
  <c r="H15" i="1" s="1"/>
  <c r="I13" i="30"/>
  <c r="I47" i="30" s="1"/>
  <c r="Y98" i="30" s="1"/>
  <c r="I15" i="1" s="1"/>
  <c r="J13" i="30"/>
  <c r="J47" i="30" s="1"/>
  <c r="Z98" i="30" s="1"/>
  <c r="J15" i="1" s="1"/>
  <c r="C13" i="30"/>
  <c r="C47" i="30" s="1"/>
  <c r="S98" i="30" s="1"/>
  <c r="C15" i="1" s="1"/>
  <c r="K13" i="30"/>
  <c r="K47" i="30" s="1"/>
  <c r="L16" i="30"/>
  <c r="K16" i="30"/>
  <c r="L15" i="30"/>
  <c r="K15" i="30"/>
  <c r="L10" i="30"/>
  <c r="L44" i="30" s="1"/>
  <c r="K10" i="30"/>
  <c r="K44" i="30" s="1"/>
  <c r="D10" i="30"/>
  <c r="E10" i="30"/>
  <c r="F10" i="30"/>
  <c r="G10" i="30"/>
  <c r="H10" i="30"/>
  <c r="I10" i="30"/>
  <c r="J10" i="30"/>
  <c r="C10" i="30"/>
  <c r="L8" i="30"/>
  <c r="L42" i="30" s="1"/>
  <c r="K8" i="30"/>
  <c r="K42" i="30" s="1"/>
  <c r="D8" i="30"/>
  <c r="D42" i="30" s="1"/>
  <c r="E8" i="30"/>
  <c r="E42" i="30" s="1"/>
  <c r="F8" i="30"/>
  <c r="F42" i="30" s="1"/>
  <c r="G8" i="30"/>
  <c r="G42" i="30" s="1"/>
  <c r="H8" i="30"/>
  <c r="H42" i="30" s="1"/>
  <c r="I8" i="30"/>
  <c r="I42" i="30" s="1"/>
  <c r="J8" i="30"/>
  <c r="J42" i="30" s="1"/>
  <c r="L28" i="6"/>
  <c r="L13" i="6"/>
  <c r="L20" i="4"/>
  <c r="L20" i="1"/>
  <c r="L20" i="27"/>
  <c r="J118" i="5"/>
  <c r="I118" i="5"/>
  <c r="H118" i="5"/>
  <c r="G118" i="5"/>
  <c r="F118" i="5"/>
  <c r="E118" i="5"/>
  <c r="D118" i="5"/>
  <c r="C118" i="5"/>
  <c r="J103" i="5"/>
  <c r="J88" i="5" s="1"/>
  <c r="I103" i="5"/>
  <c r="I88" i="5" s="1"/>
  <c r="H103" i="5"/>
  <c r="G103" i="5"/>
  <c r="F103" i="5"/>
  <c r="F88" i="5" s="1"/>
  <c r="E103" i="5"/>
  <c r="D103" i="5"/>
  <c r="D88" i="5" s="1"/>
  <c r="C103" i="5"/>
  <c r="C88" i="5" s="1"/>
  <c r="J73" i="5"/>
  <c r="I73" i="5"/>
  <c r="H73" i="5"/>
  <c r="G73" i="5"/>
  <c r="F73" i="5"/>
  <c r="E73" i="5"/>
  <c r="D73" i="5"/>
  <c r="C73" i="5"/>
  <c r="J58" i="5"/>
  <c r="I58" i="5"/>
  <c r="H58" i="5"/>
  <c r="G58" i="5"/>
  <c r="F58" i="5"/>
  <c r="E58" i="5"/>
  <c r="D58" i="5"/>
  <c r="C58" i="5"/>
  <c r="J43" i="5"/>
  <c r="I43" i="5"/>
  <c r="H43" i="5"/>
  <c r="G43" i="5"/>
  <c r="F43" i="5"/>
  <c r="E43" i="5"/>
  <c r="D43" i="5"/>
  <c r="C43" i="5"/>
  <c r="J28" i="5"/>
  <c r="I28" i="5"/>
  <c r="H28" i="5"/>
  <c r="G28" i="5"/>
  <c r="F28" i="5"/>
  <c r="E28" i="5"/>
  <c r="D28" i="5"/>
  <c r="C28" i="5"/>
  <c r="J13" i="5"/>
  <c r="I13" i="5"/>
  <c r="H13" i="5"/>
  <c r="G13" i="5"/>
  <c r="F13" i="5"/>
  <c r="E13" i="5"/>
  <c r="D13" i="5"/>
  <c r="C13" i="5"/>
  <c r="J28" i="6"/>
  <c r="I28" i="6"/>
  <c r="H28" i="6"/>
  <c r="G28" i="6"/>
  <c r="F28" i="6"/>
  <c r="E28" i="6"/>
  <c r="D28" i="6"/>
  <c r="C28" i="6"/>
  <c r="J13" i="6"/>
  <c r="J43" i="6" s="1"/>
  <c r="I13" i="6"/>
  <c r="H13" i="6"/>
  <c r="G13" i="6"/>
  <c r="G43" i="6" s="1"/>
  <c r="F13" i="6"/>
  <c r="F43" i="6" s="1"/>
  <c r="E13" i="6"/>
  <c r="D13" i="6"/>
  <c r="D43" i="6" s="1"/>
  <c r="C13" i="6"/>
  <c r="C43" i="6" s="1"/>
  <c r="J20" i="4"/>
  <c r="I20" i="4"/>
  <c r="H20" i="4"/>
  <c r="G20" i="4"/>
  <c r="F20" i="4"/>
  <c r="E20" i="4"/>
  <c r="D20" i="4"/>
  <c r="C20" i="4"/>
  <c r="J20" i="1"/>
  <c r="I20" i="1"/>
  <c r="H20" i="1"/>
  <c r="G20" i="1"/>
  <c r="F20" i="1"/>
  <c r="E20" i="1"/>
  <c r="D20" i="1"/>
  <c r="C20" i="1"/>
  <c r="J20" i="27"/>
  <c r="I20" i="27"/>
  <c r="H20" i="27"/>
  <c r="G20" i="27"/>
  <c r="F20" i="27"/>
  <c r="E20" i="27"/>
  <c r="D20" i="27"/>
  <c r="C20" i="27"/>
  <c r="J20" i="7"/>
  <c r="I20" i="7"/>
  <c r="H20" i="7"/>
  <c r="G20" i="7"/>
  <c r="F20" i="7"/>
  <c r="E20" i="7"/>
  <c r="D20" i="7"/>
  <c r="C20" i="7"/>
  <c r="J120" i="5"/>
  <c r="I120" i="5"/>
  <c r="H120" i="5"/>
  <c r="G120" i="5"/>
  <c r="F120" i="5"/>
  <c r="E120" i="5"/>
  <c r="D120" i="5"/>
  <c r="C120" i="5"/>
  <c r="J105" i="5"/>
  <c r="J90" i="5" s="1"/>
  <c r="I105" i="5"/>
  <c r="H105" i="5"/>
  <c r="G105" i="5"/>
  <c r="G90" i="5" s="1"/>
  <c r="F105" i="5"/>
  <c r="F90" i="5" s="1"/>
  <c r="E105" i="5"/>
  <c r="D105" i="5"/>
  <c r="D90" i="5" s="1"/>
  <c r="C105" i="5"/>
  <c r="J75" i="5"/>
  <c r="I75" i="5"/>
  <c r="H75" i="5"/>
  <c r="G75" i="5"/>
  <c r="F75" i="5"/>
  <c r="E75" i="5"/>
  <c r="D75" i="5"/>
  <c r="C75" i="5"/>
  <c r="J60" i="5"/>
  <c r="I60" i="5"/>
  <c r="H60" i="5"/>
  <c r="G60" i="5"/>
  <c r="F60" i="5"/>
  <c r="E60" i="5"/>
  <c r="D60" i="5"/>
  <c r="C60" i="5"/>
  <c r="J45" i="5"/>
  <c r="I45" i="5"/>
  <c r="H45" i="5"/>
  <c r="G45" i="5"/>
  <c r="F45" i="5"/>
  <c r="E45" i="5"/>
  <c r="D45" i="5"/>
  <c r="C45" i="5"/>
  <c r="J30" i="5"/>
  <c r="I30" i="5"/>
  <c r="H30" i="5"/>
  <c r="G30" i="5"/>
  <c r="G135" i="5" s="1"/>
  <c r="F30" i="5"/>
  <c r="E30" i="5"/>
  <c r="D30" i="5"/>
  <c r="C30" i="5"/>
  <c r="H15" i="8"/>
  <c r="J30" i="6"/>
  <c r="I30" i="6"/>
  <c r="H30" i="6"/>
  <c r="G30" i="6"/>
  <c r="F30" i="6"/>
  <c r="E30" i="6"/>
  <c r="D30" i="6"/>
  <c r="C30" i="6"/>
  <c r="J15" i="6"/>
  <c r="I15" i="6"/>
  <c r="H15" i="6"/>
  <c r="G15" i="6"/>
  <c r="F15" i="6"/>
  <c r="E15" i="6"/>
  <c r="D15" i="6"/>
  <c r="C15" i="6"/>
  <c r="J22" i="4"/>
  <c r="I22" i="4"/>
  <c r="H22" i="4"/>
  <c r="G22" i="4"/>
  <c r="F22" i="4"/>
  <c r="E22" i="4"/>
  <c r="D22" i="4"/>
  <c r="C22" i="4"/>
  <c r="J22" i="1"/>
  <c r="I22" i="1"/>
  <c r="H22" i="1"/>
  <c r="G22" i="1"/>
  <c r="F22" i="1"/>
  <c r="E22" i="1"/>
  <c r="D22" i="1"/>
  <c r="C22" i="1"/>
  <c r="J22" i="27"/>
  <c r="I22" i="27"/>
  <c r="H22" i="27"/>
  <c r="G22" i="27"/>
  <c r="F22" i="27"/>
  <c r="E22" i="27"/>
  <c r="D22" i="27"/>
  <c r="C22" i="27"/>
  <c r="J22" i="7"/>
  <c r="I22" i="7"/>
  <c r="H22" i="7"/>
  <c r="G22" i="7"/>
  <c r="F22" i="7"/>
  <c r="E22" i="7"/>
  <c r="D22" i="7"/>
  <c r="C22" i="7"/>
  <c r="J119" i="5"/>
  <c r="I119" i="5"/>
  <c r="H119" i="5"/>
  <c r="G119" i="5"/>
  <c r="F119" i="5"/>
  <c r="E119" i="5"/>
  <c r="D119" i="5"/>
  <c r="C119" i="5"/>
  <c r="J104" i="5"/>
  <c r="J89" i="5" s="1"/>
  <c r="J74" i="35" s="1"/>
  <c r="I104" i="5"/>
  <c r="I89" i="5" s="1"/>
  <c r="I74" i="35" s="1"/>
  <c r="H104" i="5"/>
  <c r="G104" i="5"/>
  <c r="G89" i="5" s="1"/>
  <c r="G74" i="35" s="1"/>
  <c r="F104" i="5"/>
  <c r="F89" i="5" s="1"/>
  <c r="F74" i="35" s="1"/>
  <c r="E104" i="5"/>
  <c r="E89" i="5" s="1"/>
  <c r="E74" i="35" s="1"/>
  <c r="D104" i="5"/>
  <c r="D89" i="5" s="1"/>
  <c r="D74" i="35" s="1"/>
  <c r="C104" i="5"/>
  <c r="C89" i="5" s="1"/>
  <c r="C74" i="35" s="1"/>
  <c r="J74" i="5"/>
  <c r="I74" i="5"/>
  <c r="H74" i="5"/>
  <c r="G74" i="5"/>
  <c r="F74" i="5"/>
  <c r="E74" i="5"/>
  <c r="D74" i="5"/>
  <c r="C74" i="5"/>
  <c r="J59" i="5"/>
  <c r="J54" i="35" s="1"/>
  <c r="I59" i="5"/>
  <c r="H59" i="5"/>
  <c r="H54" i="35" s="1"/>
  <c r="G59" i="5"/>
  <c r="G54" i="35" s="1"/>
  <c r="F59" i="5"/>
  <c r="F54" i="35" s="1"/>
  <c r="E59" i="5"/>
  <c r="E54" i="35" s="1"/>
  <c r="D59" i="5"/>
  <c r="D54" i="35" s="1"/>
  <c r="C59" i="5"/>
  <c r="C54" i="35" s="1"/>
  <c r="J44" i="5"/>
  <c r="I44" i="5"/>
  <c r="H44" i="5"/>
  <c r="G44" i="5"/>
  <c r="F44" i="5"/>
  <c r="E44" i="5"/>
  <c r="D44" i="5"/>
  <c r="C44" i="5"/>
  <c r="J29" i="5"/>
  <c r="J35" i="35" s="1"/>
  <c r="I29" i="5"/>
  <c r="H29" i="5"/>
  <c r="H35" i="35" s="1"/>
  <c r="G29" i="5"/>
  <c r="G35" i="35" s="1"/>
  <c r="F29" i="5"/>
  <c r="F35" i="35" s="1"/>
  <c r="E29" i="5"/>
  <c r="E35" i="35" s="1"/>
  <c r="D29" i="5"/>
  <c r="D35" i="35" s="1"/>
  <c r="C29" i="5"/>
  <c r="C35" i="35" s="1"/>
  <c r="J14" i="5"/>
  <c r="I14" i="5"/>
  <c r="H14" i="5"/>
  <c r="G14" i="5"/>
  <c r="F14" i="5"/>
  <c r="E14" i="5"/>
  <c r="D14" i="5"/>
  <c r="C14" i="5"/>
  <c r="J29" i="6"/>
  <c r="I29" i="6"/>
  <c r="H29" i="6"/>
  <c r="G29" i="6"/>
  <c r="F29" i="6"/>
  <c r="E29" i="6"/>
  <c r="D29" i="6"/>
  <c r="C29" i="6"/>
  <c r="J14" i="6"/>
  <c r="J44" i="6" s="1"/>
  <c r="I14" i="6"/>
  <c r="I44" i="6" s="1"/>
  <c r="H14" i="6"/>
  <c r="H44" i="6" s="1"/>
  <c r="G14" i="6"/>
  <c r="G44" i="6" s="1"/>
  <c r="F14" i="6"/>
  <c r="F44" i="6" s="1"/>
  <c r="E14" i="6"/>
  <c r="D14" i="6"/>
  <c r="C14" i="6"/>
  <c r="C44" i="6" s="1"/>
  <c r="J21" i="4"/>
  <c r="I21" i="4"/>
  <c r="H21" i="4"/>
  <c r="G21" i="4"/>
  <c r="F21" i="4"/>
  <c r="E21" i="4"/>
  <c r="D21" i="4"/>
  <c r="C21" i="4"/>
  <c r="J21" i="1"/>
  <c r="I21" i="1"/>
  <c r="H21" i="1"/>
  <c r="G21" i="1"/>
  <c r="F21" i="1"/>
  <c r="E21" i="1"/>
  <c r="D21" i="1"/>
  <c r="C21" i="1"/>
  <c r="J21" i="27"/>
  <c r="I21" i="27"/>
  <c r="H21" i="27"/>
  <c r="G21" i="27"/>
  <c r="F21" i="27"/>
  <c r="E21" i="27"/>
  <c r="D21" i="27"/>
  <c r="C21" i="27"/>
  <c r="J21" i="7"/>
  <c r="I21" i="7"/>
  <c r="H21" i="7"/>
  <c r="G21" i="7"/>
  <c r="F21" i="7"/>
  <c r="E21" i="7"/>
  <c r="D21" i="7"/>
  <c r="C21" i="7"/>
  <c r="J117" i="5"/>
  <c r="I117" i="5"/>
  <c r="H117" i="5"/>
  <c r="G117" i="5"/>
  <c r="F117" i="5"/>
  <c r="E117" i="5"/>
  <c r="D117" i="5"/>
  <c r="C117" i="5"/>
  <c r="J102" i="5"/>
  <c r="J87" i="5" s="1"/>
  <c r="J73" i="35" s="1"/>
  <c r="I102" i="5"/>
  <c r="H102" i="5"/>
  <c r="G102" i="5"/>
  <c r="G87" i="5" s="1"/>
  <c r="G73" i="35" s="1"/>
  <c r="F102" i="5"/>
  <c r="F87" i="5" s="1"/>
  <c r="F73" i="35" s="1"/>
  <c r="E102" i="5"/>
  <c r="E87" i="5" s="1"/>
  <c r="E73" i="35" s="1"/>
  <c r="D102" i="5"/>
  <c r="D87" i="5" s="1"/>
  <c r="D73" i="35" s="1"/>
  <c r="C102" i="5"/>
  <c r="C87" i="5" s="1"/>
  <c r="C73" i="35" s="1"/>
  <c r="J72" i="5"/>
  <c r="I72" i="5"/>
  <c r="H72" i="5"/>
  <c r="G72" i="5"/>
  <c r="F72" i="5"/>
  <c r="E72" i="5"/>
  <c r="D72" i="5"/>
  <c r="C72" i="5"/>
  <c r="J57" i="5"/>
  <c r="J53" i="35" s="1"/>
  <c r="I57" i="5"/>
  <c r="H57" i="5"/>
  <c r="H53" i="35" s="1"/>
  <c r="G57" i="5"/>
  <c r="G53" i="35" s="1"/>
  <c r="F57" i="5"/>
  <c r="F53" i="35" s="1"/>
  <c r="E57" i="5"/>
  <c r="E53" i="35" s="1"/>
  <c r="D57" i="5"/>
  <c r="D53" i="35" s="1"/>
  <c r="C57" i="5"/>
  <c r="C53" i="35" s="1"/>
  <c r="J42" i="5"/>
  <c r="I42" i="5"/>
  <c r="H42" i="5"/>
  <c r="G42" i="5"/>
  <c r="F42" i="5"/>
  <c r="E42" i="5"/>
  <c r="D42" i="5"/>
  <c r="C42" i="5"/>
  <c r="J27" i="5"/>
  <c r="J34" i="35" s="1"/>
  <c r="I27" i="5"/>
  <c r="H27" i="5"/>
  <c r="H34" i="35" s="1"/>
  <c r="G27" i="5"/>
  <c r="G34" i="35" s="1"/>
  <c r="F27" i="5"/>
  <c r="F34" i="35" s="1"/>
  <c r="E27" i="5"/>
  <c r="E34" i="35" s="1"/>
  <c r="D27" i="5"/>
  <c r="D34" i="35" s="1"/>
  <c r="C27" i="5"/>
  <c r="C34" i="35" s="1"/>
  <c r="J12" i="5"/>
  <c r="I12" i="5"/>
  <c r="H12" i="5"/>
  <c r="G12" i="5"/>
  <c r="F12" i="5"/>
  <c r="E12" i="5"/>
  <c r="D12" i="5"/>
  <c r="C12" i="5"/>
  <c r="J27" i="6"/>
  <c r="I27" i="6"/>
  <c r="H27" i="6"/>
  <c r="G27" i="6"/>
  <c r="F27" i="6"/>
  <c r="E27" i="6"/>
  <c r="D27" i="6"/>
  <c r="C27" i="6"/>
  <c r="J12" i="6"/>
  <c r="J42" i="6" s="1"/>
  <c r="I12" i="6"/>
  <c r="I42" i="6" s="1"/>
  <c r="H12" i="6"/>
  <c r="H45" i="6" s="1"/>
  <c r="G12" i="6"/>
  <c r="G42" i="6" s="1"/>
  <c r="F12" i="6"/>
  <c r="F42" i="6" s="1"/>
  <c r="E12" i="6"/>
  <c r="E42" i="6" s="1"/>
  <c r="D12" i="6"/>
  <c r="D45" i="6" s="1"/>
  <c r="C12" i="6"/>
  <c r="C42" i="6" s="1"/>
  <c r="J19" i="4"/>
  <c r="I19" i="4"/>
  <c r="H19" i="4"/>
  <c r="G19" i="4"/>
  <c r="F19" i="4"/>
  <c r="E19" i="4"/>
  <c r="D19" i="4"/>
  <c r="C19" i="4"/>
  <c r="J116" i="5"/>
  <c r="I116" i="5"/>
  <c r="H116" i="5"/>
  <c r="G116" i="5"/>
  <c r="F116" i="5"/>
  <c r="E116" i="5"/>
  <c r="D116" i="5"/>
  <c r="C116" i="5"/>
  <c r="J101" i="5"/>
  <c r="J86" i="5" s="1"/>
  <c r="I101" i="5"/>
  <c r="I86" i="5" s="1"/>
  <c r="H101" i="5"/>
  <c r="G101" i="5"/>
  <c r="G86" i="5" s="1"/>
  <c r="F101" i="5"/>
  <c r="F86" i="5" s="1"/>
  <c r="E101" i="5"/>
  <c r="E86" i="5" s="1"/>
  <c r="D101" i="5"/>
  <c r="C101" i="5"/>
  <c r="C86" i="5" s="1"/>
  <c r="J71" i="5"/>
  <c r="I71" i="5"/>
  <c r="H71" i="5"/>
  <c r="G71" i="5"/>
  <c r="F71" i="5"/>
  <c r="E71" i="5"/>
  <c r="D71" i="5"/>
  <c r="C71" i="5"/>
  <c r="J56" i="5"/>
  <c r="I56" i="5"/>
  <c r="H56" i="5"/>
  <c r="G56" i="5"/>
  <c r="F56" i="5"/>
  <c r="E56" i="5"/>
  <c r="D56" i="5"/>
  <c r="C56" i="5"/>
  <c r="J41" i="5"/>
  <c r="I41" i="5"/>
  <c r="H41" i="5"/>
  <c r="G41" i="5"/>
  <c r="F41" i="5"/>
  <c r="E41" i="5"/>
  <c r="D41" i="5"/>
  <c r="C41" i="5"/>
  <c r="J26" i="5"/>
  <c r="I26" i="5"/>
  <c r="H26" i="5"/>
  <c r="G26" i="5"/>
  <c r="F26" i="5"/>
  <c r="E26" i="5"/>
  <c r="D26" i="5"/>
  <c r="C26" i="5"/>
  <c r="J11" i="5"/>
  <c r="I11" i="5"/>
  <c r="H11" i="5"/>
  <c r="G11" i="5"/>
  <c r="F11" i="5"/>
  <c r="E11" i="5"/>
  <c r="D11" i="5"/>
  <c r="C11" i="5"/>
  <c r="J26" i="6"/>
  <c r="I26" i="6"/>
  <c r="H26" i="6"/>
  <c r="G26" i="6"/>
  <c r="F26" i="6"/>
  <c r="E26" i="6"/>
  <c r="D26" i="6"/>
  <c r="C26" i="6"/>
  <c r="J11" i="6"/>
  <c r="J41" i="6" s="1"/>
  <c r="I11" i="6"/>
  <c r="I41" i="6" s="1"/>
  <c r="H11" i="6"/>
  <c r="H41" i="6" s="1"/>
  <c r="G11" i="6"/>
  <c r="F11" i="6"/>
  <c r="F41" i="6" s="1"/>
  <c r="E11" i="6"/>
  <c r="E41" i="6" s="1"/>
  <c r="D11" i="6"/>
  <c r="D41" i="6" s="1"/>
  <c r="C11" i="6"/>
  <c r="C41" i="6" s="1"/>
  <c r="J18" i="4"/>
  <c r="I18" i="4"/>
  <c r="H18" i="4"/>
  <c r="G18" i="4"/>
  <c r="F18" i="4"/>
  <c r="E18" i="4"/>
  <c r="D18" i="4"/>
  <c r="C18" i="4"/>
  <c r="J18" i="1"/>
  <c r="I18" i="1"/>
  <c r="H18" i="1"/>
  <c r="G18" i="1"/>
  <c r="F18" i="1"/>
  <c r="E18" i="1"/>
  <c r="D18" i="1"/>
  <c r="C18" i="1"/>
  <c r="J18" i="27"/>
  <c r="I18" i="27"/>
  <c r="H18" i="27"/>
  <c r="G18" i="27"/>
  <c r="F18" i="27"/>
  <c r="E18" i="27"/>
  <c r="D18" i="27"/>
  <c r="C18" i="27"/>
  <c r="J18" i="7"/>
  <c r="I18" i="7"/>
  <c r="H18" i="7"/>
  <c r="G18" i="7"/>
  <c r="F18" i="7"/>
  <c r="E18" i="7"/>
  <c r="D18" i="7"/>
  <c r="C18" i="7"/>
  <c r="J115" i="5"/>
  <c r="I115" i="5"/>
  <c r="H115" i="5"/>
  <c r="G115" i="5"/>
  <c r="F115" i="5"/>
  <c r="E115" i="5"/>
  <c r="D115" i="5"/>
  <c r="C115" i="5"/>
  <c r="J100" i="5"/>
  <c r="J85" i="5" s="1"/>
  <c r="I100" i="5"/>
  <c r="H100" i="5"/>
  <c r="H85" i="5" s="1"/>
  <c r="G100" i="5"/>
  <c r="G85" i="5" s="1"/>
  <c r="F100" i="5"/>
  <c r="E100" i="5"/>
  <c r="E85" i="5" s="1"/>
  <c r="D100" i="5"/>
  <c r="D85" i="5" s="1"/>
  <c r="C100" i="5"/>
  <c r="C85" i="5" s="1"/>
  <c r="J70" i="5"/>
  <c r="I70" i="5"/>
  <c r="H70" i="5"/>
  <c r="G70" i="5"/>
  <c r="F70" i="5"/>
  <c r="E70" i="5"/>
  <c r="D70" i="5"/>
  <c r="C70" i="5"/>
  <c r="J55" i="5"/>
  <c r="I55" i="5"/>
  <c r="H55" i="5"/>
  <c r="G55" i="5"/>
  <c r="F55" i="5"/>
  <c r="E55" i="5"/>
  <c r="D55" i="5"/>
  <c r="C55" i="5"/>
  <c r="J40" i="5"/>
  <c r="I40" i="5"/>
  <c r="H40" i="5"/>
  <c r="G40" i="5"/>
  <c r="F40" i="5"/>
  <c r="E40" i="5"/>
  <c r="D40" i="5"/>
  <c r="C40" i="5"/>
  <c r="J25" i="5"/>
  <c r="I25" i="5"/>
  <c r="H25" i="5"/>
  <c r="G25" i="5"/>
  <c r="F25" i="5"/>
  <c r="E25" i="5"/>
  <c r="D25" i="5"/>
  <c r="C25" i="5"/>
  <c r="C130" i="5" s="1"/>
  <c r="J10" i="5"/>
  <c r="I10" i="5"/>
  <c r="H10" i="5"/>
  <c r="G10" i="5"/>
  <c r="F10" i="5"/>
  <c r="E10" i="5"/>
  <c r="D10" i="5"/>
  <c r="C10" i="5"/>
  <c r="J25" i="6"/>
  <c r="I25" i="6"/>
  <c r="H25" i="6"/>
  <c r="G25" i="6"/>
  <c r="F25" i="6"/>
  <c r="E25" i="6"/>
  <c r="D25" i="6"/>
  <c r="C25" i="6"/>
  <c r="J10" i="6"/>
  <c r="I10" i="6"/>
  <c r="I40" i="6" s="1"/>
  <c r="H10" i="6"/>
  <c r="H40" i="6" s="1"/>
  <c r="G10" i="6"/>
  <c r="G40" i="6" s="1"/>
  <c r="F10" i="6"/>
  <c r="F40" i="6" s="1"/>
  <c r="E10" i="6"/>
  <c r="E40" i="6" s="1"/>
  <c r="D10" i="6"/>
  <c r="D40" i="6" s="1"/>
  <c r="C10" i="6"/>
  <c r="C40" i="6" s="1"/>
  <c r="J17" i="4"/>
  <c r="I17" i="4"/>
  <c r="H17" i="4"/>
  <c r="G17" i="4"/>
  <c r="F17" i="4"/>
  <c r="E17" i="4"/>
  <c r="D17" i="4"/>
  <c r="C17" i="4"/>
  <c r="J17" i="1"/>
  <c r="I17" i="1"/>
  <c r="H17" i="1"/>
  <c r="G17" i="1"/>
  <c r="F17" i="1"/>
  <c r="E17" i="1"/>
  <c r="D17" i="1"/>
  <c r="C17" i="1"/>
  <c r="J17" i="27"/>
  <c r="I17" i="27"/>
  <c r="H17" i="27"/>
  <c r="G17" i="27"/>
  <c r="F17" i="27"/>
  <c r="E17" i="27"/>
  <c r="D17" i="27"/>
  <c r="C17" i="27"/>
  <c r="J17" i="7"/>
  <c r="I17" i="7"/>
  <c r="H17" i="7"/>
  <c r="G17" i="7"/>
  <c r="F17" i="7"/>
  <c r="E17" i="7"/>
  <c r="D17" i="7"/>
  <c r="C17" i="7"/>
  <c r="J114" i="5"/>
  <c r="I114" i="5"/>
  <c r="H114" i="5"/>
  <c r="G114" i="5"/>
  <c r="F114" i="5"/>
  <c r="E114" i="5"/>
  <c r="D114" i="5"/>
  <c r="C114" i="5"/>
  <c r="J99" i="5"/>
  <c r="J84" i="5" s="1"/>
  <c r="I99" i="5"/>
  <c r="I84" i="5" s="1"/>
  <c r="H99" i="5"/>
  <c r="H84" i="5" s="1"/>
  <c r="G99" i="5"/>
  <c r="G84" i="5" s="1"/>
  <c r="F99" i="5"/>
  <c r="F84" i="5" s="1"/>
  <c r="E99" i="5"/>
  <c r="E84" i="5" s="1"/>
  <c r="D99" i="5"/>
  <c r="D84" i="5" s="1"/>
  <c r="C99" i="5"/>
  <c r="C84" i="5" s="1"/>
  <c r="G69" i="5"/>
  <c r="F69" i="5"/>
  <c r="E69" i="5"/>
  <c r="D69" i="5"/>
  <c r="C69" i="5"/>
  <c r="J54" i="5"/>
  <c r="I54" i="5"/>
  <c r="H54" i="5"/>
  <c r="G54" i="5"/>
  <c r="F54" i="5"/>
  <c r="E54" i="5"/>
  <c r="D54" i="5"/>
  <c r="C54" i="5"/>
  <c r="J39" i="5"/>
  <c r="I39" i="5"/>
  <c r="H39" i="5"/>
  <c r="G39" i="5"/>
  <c r="F39" i="5"/>
  <c r="E39" i="5"/>
  <c r="D39" i="5"/>
  <c r="C39" i="5"/>
  <c r="J24" i="5"/>
  <c r="I24" i="5"/>
  <c r="H24" i="5"/>
  <c r="G24" i="5"/>
  <c r="F24" i="5"/>
  <c r="E24" i="5"/>
  <c r="D24" i="5"/>
  <c r="D129" i="5" s="1"/>
  <c r="C24" i="5"/>
  <c r="J9" i="5"/>
  <c r="I9" i="5"/>
  <c r="H9" i="5"/>
  <c r="G9" i="5"/>
  <c r="F9" i="5"/>
  <c r="E9" i="5"/>
  <c r="D9" i="5"/>
  <c r="C9" i="5"/>
  <c r="J24" i="6"/>
  <c r="I24" i="6"/>
  <c r="H24" i="6"/>
  <c r="G24" i="6"/>
  <c r="F24" i="6"/>
  <c r="E24" i="6"/>
  <c r="D24" i="6"/>
  <c r="C24" i="6"/>
  <c r="J9" i="6"/>
  <c r="J39" i="6" s="1"/>
  <c r="I9" i="6"/>
  <c r="H9" i="6"/>
  <c r="H39" i="6" s="1"/>
  <c r="G9" i="6"/>
  <c r="G39" i="6" s="1"/>
  <c r="F9" i="6"/>
  <c r="F39" i="6" s="1"/>
  <c r="E9" i="6"/>
  <c r="E39" i="6" s="1"/>
  <c r="D9" i="6"/>
  <c r="D39" i="6" s="1"/>
  <c r="C9" i="6"/>
  <c r="C39" i="6" s="1"/>
  <c r="J16" i="4"/>
  <c r="I16" i="4"/>
  <c r="H16" i="4"/>
  <c r="G16" i="4"/>
  <c r="F16" i="4"/>
  <c r="E16" i="4"/>
  <c r="D16" i="4"/>
  <c r="C16" i="4"/>
  <c r="J113" i="5"/>
  <c r="I113" i="5"/>
  <c r="H113" i="5"/>
  <c r="G113" i="5"/>
  <c r="F113" i="5"/>
  <c r="E113" i="5"/>
  <c r="D113" i="5"/>
  <c r="C113" i="5"/>
  <c r="J98" i="5"/>
  <c r="J83" i="5" s="1"/>
  <c r="I98" i="5"/>
  <c r="H98" i="5"/>
  <c r="H83" i="5" s="1"/>
  <c r="G98" i="5"/>
  <c r="F98" i="5"/>
  <c r="F83" i="5" s="1"/>
  <c r="E98" i="5"/>
  <c r="E83" i="5" s="1"/>
  <c r="D98" i="5"/>
  <c r="D83" i="5" s="1"/>
  <c r="C98" i="5"/>
  <c r="C83" i="5" s="1"/>
  <c r="J68" i="5"/>
  <c r="I68" i="5"/>
  <c r="H68" i="5"/>
  <c r="G68" i="5"/>
  <c r="F68" i="5"/>
  <c r="E68" i="5"/>
  <c r="D68" i="5"/>
  <c r="C68" i="5"/>
  <c r="J53" i="5"/>
  <c r="I53" i="5"/>
  <c r="H53" i="5"/>
  <c r="G53" i="5"/>
  <c r="F53" i="5"/>
  <c r="E53" i="5"/>
  <c r="D53" i="5"/>
  <c r="C53" i="5"/>
  <c r="J38" i="5"/>
  <c r="I38" i="5"/>
  <c r="H38" i="5"/>
  <c r="G38" i="5"/>
  <c r="F38" i="5"/>
  <c r="E38" i="5"/>
  <c r="D38" i="5"/>
  <c r="C38" i="5"/>
  <c r="J23" i="5"/>
  <c r="I23" i="5"/>
  <c r="H23" i="5"/>
  <c r="G23" i="5"/>
  <c r="F23" i="5"/>
  <c r="E23" i="5"/>
  <c r="D23" i="5"/>
  <c r="C23" i="5"/>
  <c r="J8" i="5"/>
  <c r="I8" i="5"/>
  <c r="H8" i="5"/>
  <c r="G8" i="5"/>
  <c r="F8" i="5"/>
  <c r="F128" i="5" s="1"/>
  <c r="E8" i="5"/>
  <c r="D8" i="5"/>
  <c r="C8" i="5"/>
  <c r="J23" i="6"/>
  <c r="I23" i="6"/>
  <c r="H23" i="6"/>
  <c r="G23" i="6"/>
  <c r="F23" i="6"/>
  <c r="E23" i="6"/>
  <c r="D23" i="6"/>
  <c r="C23" i="6"/>
  <c r="J8" i="6"/>
  <c r="J38" i="6" s="1"/>
  <c r="I8" i="6"/>
  <c r="H8" i="6"/>
  <c r="H38" i="6" s="1"/>
  <c r="G8" i="6"/>
  <c r="G38" i="6" s="1"/>
  <c r="F8" i="6"/>
  <c r="F38" i="6" s="1"/>
  <c r="E8" i="6"/>
  <c r="E38" i="6" s="1"/>
  <c r="D8" i="6"/>
  <c r="D38" i="6" s="1"/>
  <c r="C8" i="6"/>
  <c r="C38" i="6" s="1"/>
  <c r="J112" i="5"/>
  <c r="I112" i="5"/>
  <c r="H112" i="5"/>
  <c r="G112" i="5"/>
  <c r="F112" i="5"/>
  <c r="E112" i="5"/>
  <c r="D112" i="5"/>
  <c r="C112" i="5"/>
  <c r="J97" i="5"/>
  <c r="I97" i="5"/>
  <c r="I82" i="5" s="1"/>
  <c r="H97" i="5"/>
  <c r="G97" i="5"/>
  <c r="F97" i="5"/>
  <c r="F82" i="5" s="1"/>
  <c r="E97" i="5"/>
  <c r="E82" i="5" s="1"/>
  <c r="E72" i="35" s="1"/>
  <c r="D97" i="5"/>
  <c r="D82" i="5" s="1"/>
  <c r="D72" i="35" s="1"/>
  <c r="C97" i="5"/>
  <c r="C82" i="5" s="1"/>
  <c r="J67" i="5"/>
  <c r="I67" i="5"/>
  <c r="H67" i="5"/>
  <c r="G67" i="5"/>
  <c r="F67" i="5"/>
  <c r="E67" i="5"/>
  <c r="D67" i="5"/>
  <c r="C67" i="5"/>
  <c r="J52" i="5"/>
  <c r="J52" i="35" s="1"/>
  <c r="I52" i="5"/>
  <c r="I52" i="35" s="1"/>
  <c r="H52" i="5"/>
  <c r="H52" i="35" s="1"/>
  <c r="G52" i="5"/>
  <c r="G52" i="35" s="1"/>
  <c r="F52" i="5"/>
  <c r="F52" i="35" s="1"/>
  <c r="E52" i="5"/>
  <c r="E52" i="35" s="1"/>
  <c r="D52" i="5"/>
  <c r="D52" i="35" s="1"/>
  <c r="C52" i="5"/>
  <c r="C52" i="35" s="1"/>
  <c r="J37" i="5"/>
  <c r="I37" i="5"/>
  <c r="H37" i="5"/>
  <c r="G37" i="5"/>
  <c r="F37" i="5"/>
  <c r="E37" i="5"/>
  <c r="D37" i="5"/>
  <c r="C37" i="5"/>
  <c r="J22" i="5"/>
  <c r="I22" i="5"/>
  <c r="H22" i="5"/>
  <c r="G22" i="5"/>
  <c r="F22" i="5"/>
  <c r="E22" i="5"/>
  <c r="D22" i="5"/>
  <c r="C22" i="5"/>
  <c r="J7" i="5"/>
  <c r="I7" i="5"/>
  <c r="H7" i="5"/>
  <c r="G7" i="5"/>
  <c r="F7" i="5"/>
  <c r="E7" i="5"/>
  <c r="D7" i="5"/>
  <c r="C7" i="5"/>
  <c r="J22" i="6"/>
  <c r="I22" i="6"/>
  <c r="H22" i="6"/>
  <c r="G22" i="6"/>
  <c r="F22" i="6"/>
  <c r="E22" i="6"/>
  <c r="D22" i="6"/>
  <c r="C22" i="6"/>
  <c r="J7" i="6"/>
  <c r="J37" i="6" s="1"/>
  <c r="I7" i="6"/>
  <c r="H7" i="6"/>
  <c r="H37" i="6" s="1"/>
  <c r="G7" i="6"/>
  <c r="G37" i="6" s="1"/>
  <c r="F7" i="6"/>
  <c r="F37" i="6" s="1"/>
  <c r="E7" i="6"/>
  <c r="E37" i="6" s="1"/>
  <c r="D7" i="6"/>
  <c r="D37" i="6" s="1"/>
  <c r="C7" i="6"/>
  <c r="C37" i="6" s="1"/>
  <c r="J14" i="4"/>
  <c r="I14" i="4"/>
  <c r="H14" i="4"/>
  <c r="G14" i="4"/>
  <c r="F14" i="4"/>
  <c r="E14" i="4"/>
  <c r="D14" i="4"/>
  <c r="C14" i="4"/>
  <c r="J111" i="5"/>
  <c r="I111" i="5"/>
  <c r="H111" i="5"/>
  <c r="G111" i="5"/>
  <c r="F111" i="5"/>
  <c r="E111" i="5"/>
  <c r="D111" i="5"/>
  <c r="C111" i="5"/>
  <c r="J96" i="5"/>
  <c r="J81" i="5" s="1"/>
  <c r="I96" i="5"/>
  <c r="H96" i="5"/>
  <c r="H81" i="5" s="1"/>
  <c r="G96" i="5"/>
  <c r="F96" i="5"/>
  <c r="F81" i="5" s="1"/>
  <c r="E96" i="5"/>
  <c r="E81" i="5" s="1"/>
  <c r="D96" i="5"/>
  <c r="D81" i="5" s="1"/>
  <c r="C96" i="5"/>
  <c r="C81" i="5" s="1"/>
  <c r="J66" i="5"/>
  <c r="I66" i="5"/>
  <c r="H66" i="5"/>
  <c r="G66" i="5"/>
  <c r="F66" i="5"/>
  <c r="E66" i="5"/>
  <c r="D66" i="5"/>
  <c r="C66" i="5"/>
  <c r="J51" i="5"/>
  <c r="I51" i="5"/>
  <c r="H51" i="5"/>
  <c r="G51" i="5"/>
  <c r="F51" i="5"/>
  <c r="E51" i="5"/>
  <c r="D51" i="5"/>
  <c r="C51" i="5"/>
  <c r="J36" i="5"/>
  <c r="I36" i="5"/>
  <c r="H36" i="5"/>
  <c r="G36" i="5"/>
  <c r="F36" i="5"/>
  <c r="E36" i="5"/>
  <c r="D36" i="5"/>
  <c r="C36" i="5"/>
  <c r="J21" i="5"/>
  <c r="I21" i="5"/>
  <c r="H21" i="5"/>
  <c r="G21" i="5"/>
  <c r="F21" i="5"/>
  <c r="E21" i="5"/>
  <c r="D21" i="5"/>
  <c r="C21" i="5"/>
  <c r="J6" i="5"/>
  <c r="I6" i="5"/>
  <c r="H6" i="5"/>
  <c r="G6" i="5"/>
  <c r="F6" i="5"/>
  <c r="E6" i="5"/>
  <c r="D6" i="5"/>
  <c r="C6" i="5"/>
  <c r="J21" i="6"/>
  <c r="I21" i="6"/>
  <c r="H21" i="6"/>
  <c r="G21" i="6"/>
  <c r="F21" i="6"/>
  <c r="E21" i="6"/>
  <c r="D21" i="6"/>
  <c r="C21" i="6"/>
  <c r="J6" i="6"/>
  <c r="J36" i="6" s="1"/>
  <c r="I6" i="6"/>
  <c r="H6" i="6"/>
  <c r="G6" i="6"/>
  <c r="G36" i="6" s="1"/>
  <c r="F6" i="6"/>
  <c r="F36" i="6" s="1"/>
  <c r="E6" i="6"/>
  <c r="E36" i="6" s="1"/>
  <c r="D6" i="6"/>
  <c r="D36" i="6" s="1"/>
  <c r="C6" i="6"/>
  <c r="C36" i="6" s="1"/>
  <c r="J13" i="4"/>
  <c r="I13" i="4"/>
  <c r="H13" i="4"/>
  <c r="G13" i="4"/>
  <c r="F13" i="4"/>
  <c r="E13" i="4"/>
  <c r="D13" i="4"/>
  <c r="C13" i="4"/>
  <c r="J110" i="5"/>
  <c r="I110" i="5"/>
  <c r="H110" i="5"/>
  <c r="G110" i="5"/>
  <c r="F110" i="5"/>
  <c r="E110" i="5"/>
  <c r="D110" i="5"/>
  <c r="C110" i="5"/>
  <c r="J95" i="5"/>
  <c r="J80" i="5" s="1"/>
  <c r="I95" i="5"/>
  <c r="H95" i="5"/>
  <c r="H80" i="5" s="1"/>
  <c r="G95" i="5"/>
  <c r="G80" i="5" s="1"/>
  <c r="F95" i="5"/>
  <c r="E95" i="5"/>
  <c r="E80" i="5" s="1"/>
  <c r="D95" i="5"/>
  <c r="D80" i="5" s="1"/>
  <c r="C95" i="5"/>
  <c r="C80" i="5" s="1"/>
  <c r="J65" i="5"/>
  <c r="I65" i="5"/>
  <c r="H65" i="5"/>
  <c r="G65" i="5"/>
  <c r="F65" i="5"/>
  <c r="E65" i="5"/>
  <c r="D65" i="5"/>
  <c r="C65" i="5"/>
  <c r="J50" i="5"/>
  <c r="I50" i="5"/>
  <c r="H50" i="5"/>
  <c r="G50" i="5"/>
  <c r="F50" i="5"/>
  <c r="E50" i="5"/>
  <c r="D50" i="5"/>
  <c r="C50" i="5"/>
  <c r="J35" i="5"/>
  <c r="I35" i="5"/>
  <c r="H35" i="5"/>
  <c r="G35" i="5"/>
  <c r="F35" i="5"/>
  <c r="E35" i="5"/>
  <c r="D35" i="5"/>
  <c r="C35" i="5"/>
  <c r="J20" i="5"/>
  <c r="I20" i="5"/>
  <c r="H20" i="5"/>
  <c r="H125" i="5" s="1"/>
  <c r="G20" i="5"/>
  <c r="F20" i="5"/>
  <c r="E20" i="5"/>
  <c r="D20" i="5"/>
  <c r="C20" i="5"/>
  <c r="J5" i="5"/>
  <c r="I5" i="5"/>
  <c r="H5" i="5"/>
  <c r="G5" i="5"/>
  <c r="F5" i="5"/>
  <c r="E5" i="5"/>
  <c r="D5" i="5"/>
  <c r="C5" i="5"/>
  <c r="J20" i="6"/>
  <c r="I20" i="6"/>
  <c r="H20" i="6"/>
  <c r="G20" i="6"/>
  <c r="F20" i="6"/>
  <c r="E20" i="6"/>
  <c r="D20" i="6"/>
  <c r="C20" i="6"/>
  <c r="J5" i="6"/>
  <c r="J35" i="6" s="1"/>
  <c r="I5" i="6"/>
  <c r="H5" i="6"/>
  <c r="H35" i="6" s="1"/>
  <c r="G5" i="6"/>
  <c r="G35" i="6" s="1"/>
  <c r="F5" i="6"/>
  <c r="F35" i="6" s="1"/>
  <c r="E5" i="6"/>
  <c r="E35" i="6" s="1"/>
  <c r="D5" i="6"/>
  <c r="D35" i="6" s="1"/>
  <c r="C5" i="6"/>
  <c r="J12" i="4"/>
  <c r="I12" i="4"/>
  <c r="H12" i="4"/>
  <c r="G12" i="4"/>
  <c r="F12" i="4"/>
  <c r="E12" i="4"/>
  <c r="D12" i="4"/>
  <c r="C12" i="4"/>
  <c r="J12" i="1"/>
  <c r="I12" i="1"/>
  <c r="H12" i="1"/>
  <c r="G12" i="1"/>
  <c r="F12" i="1"/>
  <c r="E12" i="1"/>
  <c r="D12" i="1"/>
  <c r="C12" i="1"/>
  <c r="J12" i="27"/>
  <c r="I12" i="27"/>
  <c r="H12" i="27"/>
  <c r="G12" i="27"/>
  <c r="F12" i="27"/>
  <c r="E12" i="27"/>
  <c r="D12" i="27"/>
  <c r="C12" i="27"/>
  <c r="J12" i="7"/>
  <c r="I12" i="7"/>
  <c r="H12" i="7"/>
  <c r="G12" i="7"/>
  <c r="F12" i="7"/>
  <c r="E12" i="7"/>
  <c r="D12" i="7"/>
  <c r="C12" i="7"/>
  <c r="J109" i="5"/>
  <c r="I109" i="5"/>
  <c r="H109" i="5"/>
  <c r="G109" i="5"/>
  <c r="F109" i="5"/>
  <c r="E109" i="5"/>
  <c r="D109" i="5"/>
  <c r="C109" i="5"/>
  <c r="J94" i="5"/>
  <c r="J79" i="5" s="1"/>
  <c r="I94" i="5"/>
  <c r="H94" i="5"/>
  <c r="H79" i="5" s="1"/>
  <c r="G94" i="5"/>
  <c r="G79" i="5" s="1"/>
  <c r="F94" i="5"/>
  <c r="F79" i="5" s="1"/>
  <c r="E94" i="5"/>
  <c r="E79" i="5" s="1"/>
  <c r="D94" i="5"/>
  <c r="D79" i="5" s="1"/>
  <c r="C94" i="5"/>
  <c r="C79" i="5" s="1"/>
  <c r="J64" i="5"/>
  <c r="I64" i="5"/>
  <c r="H64" i="5"/>
  <c r="G64" i="5"/>
  <c r="F64" i="5"/>
  <c r="E64" i="5"/>
  <c r="D64" i="5"/>
  <c r="C64" i="5"/>
  <c r="J49" i="5"/>
  <c r="J51" i="35" s="1"/>
  <c r="I49" i="5"/>
  <c r="H49" i="5"/>
  <c r="H51" i="35" s="1"/>
  <c r="G49" i="5"/>
  <c r="G51" i="35" s="1"/>
  <c r="F49" i="5"/>
  <c r="F51" i="35" s="1"/>
  <c r="E49" i="5"/>
  <c r="E51" i="35" s="1"/>
  <c r="D49" i="5"/>
  <c r="D51" i="35" s="1"/>
  <c r="C49" i="5"/>
  <c r="C51" i="35" s="1"/>
  <c r="J34" i="5"/>
  <c r="I34" i="5"/>
  <c r="H34" i="5"/>
  <c r="G34" i="5"/>
  <c r="F34" i="5"/>
  <c r="E34" i="5"/>
  <c r="D34" i="5"/>
  <c r="C34" i="5"/>
  <c r="J19" i="5"/>
  <c r="J32" i="35" s="1"/>
  <c r="I19" i="5"/>
  <c r="H19" i="5"/>
  <c r="H32" i="35" s="1"/>
  <c r="G19" i="5"/>
  <c r="G32" i="35" s="1"/>
  <c r="F19" i="5"/>
  <c r="F32" i="35" s="1"/>
  <c r="E19" i="5"/>
  <c r="E32" i="35" s="1"/>
  <c r="D19" i="5"/>
  <c r="D32" i="35" s="1"/>
  <c r="C19" i="5"/>
  <c r="C32" i="35" s="1"/>
  <c r="J4" i="5"/>
  <c r="I4" i="5"/>
  <c r="H4" i="5"/>
  <c r="G4" i="5"/>
  <c r="F4" i="5"/>
  <c r="E4" i="5"/>
  <c r="D4" i="5"/>
  <c r="C4" i="5"/>
  <c r="J19" i="6"/>
  <c r="I19" i="6"/>
  <c r="H19" i="6"/>
  <c r="G19" i="6"/>
  <c r="F19" i="6"/>
  <c r="E19" i="6"/>
  <c r="D19" i="6"/>
  <c r="C19" i="6"/>
  <c r="J4" i="6"/>
  <c r="I4" i="6"/>
  <c r="H4" i="6"/>
  <c r="H34" i="6" s="1"/>
  <c r="G4" i="6"/>
  <c r="G34" i="6" s="1"/>
  <c r="F4" i="6"/>
  <c r="F34" i="6" s="1"/>
  <c r="E4" i="6"/>
  <c r="E34" i="6" s="1"/>
  <c r="D4" i="6"/>
  <c r="D34" i="6" s="1"/>
  <c r="C4" i="6"/>
  <c r="C34" i="6" s="1"/>
  <c r="J11" i="4"/>
  <c r="I11" i="4"/>
  <c r="H11" i="4"/>
  <c r="G11" i="4"/>
  <c r="F11" i="4"/>
  <c r="E11" i="4"/>
  <c r="D11" i="4"/>
  <c r="C11" i="4"/>
  <c r="J108" i="5"/>
  <c r="I108" i="5"/>
  <c r="H108" i="5"/>
  <c r="G108" i="5"/>
  <c r="F108" i="5"/>
  <c r="E108" i="5"/>
  <c r="D108" i="5"/>
  <c r="C108" i="5"/>
  <c r="J93" i="5"/>
  <c r="I93" i="5"/>
  <c r="H93" i="5"/>
  <c r="G93" i="5"/>
  <c r="F93" i="5"/>
  <c r="E93" i="5"/>
  <c r="D93" i="5"/>
  <c r="C93" i="5"/>
  <c r="J78" i="5"/>
  <c r="J70" i="35" s="1"/>
  <c r="I78" i="5"/>
  <c r="I70" i="35" s="1"/>
  <c r="H78" i="5"/>
  <c r="H70" i="35" s="1"/>
  <c r="G78" i="5"/>
  <c r="G70" i="35" s="1"/>
  <c r="F78" i="5"/>
  <c r="F70" i="35" s="1"/>
  <c r="E78" i="5"/>
  <c r="E70" i="35" s="1"/>
  <c r="D78" i="5"/>
  <c r="D70" i="35" s="1"/>
  <c r="C78" i="5"/>
  <c r="C70" i="35" s="1"/>
  <c r="J63" i="5"/>
  <c r="I63" i="5"/>
  <c r="H63" i="5"/>
  <c r="G63" i="5"/>
  <c r="F63" i="5"/>
  <c r="E63" i="5"/>
  <c r="D63" i="5"/>
  <c r="C63" i="5"/>
  <c r="J48" i="5"/>
  <c r="J50" i="35" s="1"/>
  <c r="I48" i="5"/>
  <c r="H48" i="5"/>
  <c r="H50" i="35" s="1"/>
  <c r="G48" i="5"/>
  <c r="G50" i="35" s="1"/>
  <c r="F48" i="5"/>
  <c r="F50" i="35" s="1"/>
  <c r="E48" i="5"/>
  <c r="E50" i="35" s="1"/>
  <c r="D48" i="5"/>
  <c r="D50" i="35" s="1"/>
  <c r="C48" i="5"/>
  <c r="C50" i="35" s="1"/>
  <c r="J33" i="5"/>
  <c r="I33" i="5"/>
  <c r="H33" i="5"/>
  <c r="G33" i="5"/>
  <c r="F33" i="5"/>
  <c r="E33" i="5"/>
  <c r="D33" i="5"/>
  <c r="C33" i="5"/>
  <c r="J18" i="5"/>
  <c r="J31" i="35" s="1"/>
  <c r="I18" i="5"/>
  <c r="H18" i="5"/>
  <c r="H31" i="35" s="1"/>
  <c r="G18" i="5"/>
  <c r="G31" i="35" s="1"/>
  <c r="F18" i="5"/>
  <c r="F31" i="35" s="1"/>
  <c r="E18" i="5"/>
  <c r="E31" i="35" s="1"/>
  <c r="D18" i="5"/>
  <c r="D31" i="35" s="1"/>
  <c r="C18" i="5"/>
  <c r="C31" i="35" s="1"/>
  <c r="J3" i="5"/>
  <c r="I3" i="5"/>
  <c r="H3" i="5"/>
  <c r="G3" i="5"/>
  <c r="F3" i="5"/>
  <c r="E3" i="5"/>
  <c r="D3" i="5"/>
  <c r="C3" i="5"/>
  <c r="J18" i="6"/>
  <c r="I18" i="6"/>
  <c r="H18" i="6"/>
  <c r="G18" i="6"/>
  <c r="F18" i="6"/>
  <c r="E18" i="6"/>
  <c r="D18" i="6"/>
  <c r="C18" i="6"/>
  <c r="J3" i="6"/>
  <c r="J33" i="6" s="1"/>
  <c r="I3" i="6"/>
  <c r="H3" i="6"/>
  <c r="H33" i="6" s="1"/>
  <c r="G3" i="6"/>
  <c r="G33" i="6" s="1"/>
  <c r="F3" i="6"/>
  <c r="F33" i="6" s="1"/>
  <c r="E3" i="6"/>
  <c r="E33" i="6" s="1"/>
  <c r="D3" i="6"/>
  <c r="D33" i="6" s="1"/>
  <c r="C3" i="6"/>
  <c r="C33" i="6" s="1"/>
  <c r="J10" i="1"/>
  <c r="I10" i="1"/>
  <c r="H10" i="1"/>
  <c r="G10" i="1"/>
  <c r="F10" i="1"/>
  <c r="E10" i="1"/>
  <c r="D10" i="1"/>
  <c r="C10" i="1"/>
  <c r="J10" i="27"/>
  <c r="I10" i="27"/>
  <c r="H10" i="27"/>
  <c r="G10" i="27"/>
  <c r="F10" i="27"/>
  <c r="E10" i="27"/>
  <c r="D10" i="27"/>
  <c r="C10" i="27"/>
  <c r="K30" i="6"/>
  <c r="K15" i="6"/>
  <c r="K22" i="4"/>
  <c r="K22" i="1"/>
  <c r="K22" i="27"/>
  <c r="K22" i="7"/>
  <c r="K29" i="6"/>
  <c r="K14" i="6"/>
  <c r="K21" i="4"/>
  <c r="K21" i="1"/>
  <c r="K21" i="27"/>
  <c r="K21" i="7"/>
  <c r="K27" i="6"/>
  <c r="K12" i="6"/>
  <c r="K19" i="4"/>
  <c r="K26" i="6"/>
  <c r="K11" i="6"/>
  <c r="K18" i="4"/>
  <c r="K18" i="1"/>
  <c r="K18" i="27"/>
  <c r="K18" i="7"/>
  <c r="K25" i="6"/>
  <c r="K10" i="6"/>
  <c r="K17" i="4"/>
  <c r="K17" i="1"/>
  <c r="K17" i="27"/>
  <c r="K17" i="7"/>
  <c r="K24" i="6"/>
  <c r="K9" i="6"/>
  <c r="K16" i="4"/>
  <c r="K23" i="6"/>
  <c r="K8" i="6"/>
  <c r="K22" i="6"/>
  <c r="K7" i="6"/>
  <c r="K14" i="4"/>
  <c r="K21" i="6"/>
  <c r="K6" i="6"/>
  <c r="K13" i="4"/>
  <c r="K28" i="6"/>
  <c r="K13" i="6"/>
  <c r="K20" i="4"/>
  <c r="K20" i="1"/>
  <c r="K20" i="27"/>
  <c r="K20" i="7"/>
  <c r="K20" i="6"/>
  <c r="K5" i="6"/>
  <c r="K12" i="4"/>
  <c r="K12" i="1"/>
  <c r="K12" i="27"/>
  <c r="K12" i="7"/>
  <c r="K19" i="6"/>
  <c r="K4" i="6"/>
  <c r="K11" i="4"/>
  <c r="K18" i="6"/>
  <c r="K3" i="6"/>
  <c r="K10" i="1"/>
  <c r="K10" i="27"/>
  <c r="B107" i="5"/>
  <c r="B1" i="1"/>
  <c r="A24" i="1" s="1"/>
  <c r="B1" i="27"/>
  <c r="A24" i="27" s="1"/>
  <c r="B1" i="4"/>
  <c r="A24" i="4" s="1"/>
  <c r="B1" i="7"/>
  <c r="A24" i="7" s="1"/>
  <c r="D2" i="22" s="1"/>
  <c r="A5" i="28"/>
  <c r="A5" i="22"/>
  <c r="D8" i="2"/>
  <c r="L22" i="1"/>
  <c r="L38" i="1" s="1"/>
  <c r="L18" i="1"/>
  <c r="L17" i="1"/>
  <c r="L12" i="1"/>
  <c r="L21" i="1"/>
  <c r="L10" i="1"/>
  <c r="L22" i="27"/>
  <c r="L18" i="27"/>
  <c r="L17" i="27"/>
  <c r="L12" i="27"/>
  <c r="L21" i="27"/>
  <c r="L10" i="27"/>
  <c r="L22" i="7"/>
  <c r="L22" i="4"/>
  <c r="L30" i="6"/>
  <c r="L15" i="6"/>
  <c r="L17" i="7"/>
  <c r="L17" i="4"/>
  <c r="L25" i="6"/>
  <c r="L10" i="6"/>
  <c r="L18" i="7"/>
  <c r="L12" i="7"/>
  <c r="L18" i="4"/>
  <c r="L12" i="4"/>
  <c r="L20" i="6"/>
  <c r="L5" i="6"/>
  <c r="L26" i="6"/>
  <c r="L11" i="6"/>
  <c r="L3" i="6"/>
  <c r="L18" i="6"/>
  <c r="L4" i="6"/>
  <c r="L124" i="5"/>
  <c r="L21" i="4"/>
  <c r="L19" i="4"/>
  <c r="L16" i="4"/>
  <c r="L13" i="4"/>
  <c r="L11" i="4"/>
  <c r="K69" i="5"/>
  <c r="J69" i="5" s="1"/>
  <c r="I69" i="5" s="1"/>
  <c r="L129" i="5"/>
  <c r="L14" i="6"/>
  <c r="L12" i="6"/>
  <c r="L9" i="6"/>
  <c r="L24" i="6"/>
  <c r="L8" i="6"/>
  <c r="L7" i="6"/>
  <c r="L6" i="6"/>
  <c r="L29" i="6"/>
  <c r="L27" i="6"/>
  <c r="L23" i="6"/>
  <c r="L22" i="6"/>
  <c r="L21" i="6"/>
  <c r="L19" i="6"/>
  <c r="L78" i="5"/>
  <c r="L70" i="35" s="1"/>
  <c r="L21" i="7"/>
  <c r="I87" i="5"/>
  <c r="I73" i="35" s="1"/>
  <c r="E90" i="5"/>
  <c r="C90" i="5"/>
  <c r="E44" i="6"/>
  <c r="E45" i="6"/>
  <c r="F126" i="5"/>
  <c r="K10" i="2"/>
  <c r="F3" i="2"/>
  <c r="G3" i="2"/>
  <c r="H3" i="2"/>
  <c r="I3" i="2"/>
  <c r="J3" i="2"/>
  <c r="K3" i="2"/>
  <c r="L3" i="2"/>
  <c r="M3" i="2"/>
  <c r="N3" i="2"/>
  <c r="F4" i="2"/>
  <c r="G4" i="2"/>
  <c r="G9" i="2" s="1"/>
  <c r="H4" i="2"/>
  <c r="I4" i="2"/>
  <c r="J4" i="2"/>
  <c r="K4" i="2"/>
  <c r="L4" i="2"/>
  <c r="M4" i="2"/>
  <c r="N4" i="2"/>
  <c r="F5" i="2"/>
  <c r="F10" i="2" s="1"/>
  <c r="C3" i="7" s="1"/>
  <c r="G5" i="2"/>
  <c r="H5" i="2"/>
  <c r="I5" i="2"/>
  <c r="J5" i="2"/>
  <c r="K5" i="2"/>
  <c r="L5" i="2"/>
  <c r="M5" i="2"/>
  <c r="N5" i="2"/>
  <c r="D6" i="2"/>
  <c r="H10" i="2"/>
  <c r="E3" i="7" s="1"/>
  <c r="F45" i="6"/>
  <c r="F85" i="5"/>
  <c r="E88" i="5"/>
  <c r="I90" i="5"/>
  <c r="D128" i="5"/>
  <c r="I134" i="5"/>
  <c r="I135" i="5"/>
  <c r="E135" i="5"/>
  <c r="G133" i="5"/>
  <c r="G126" i="5"/>
  <c r="H126" i="5"/>
  <c r="I131" i="5"/>
  <c r="J82" i="5"/>
  <c r="C35" i="6"/>
  <c r="H36" i="6"/>
  <c r="J40" i="6"/>
  <c r="K85" i="5"/>
  <c r="I39" i="6"/>
  <c r="D86" i="5"/>
  <c r="D125" i="5"/>
  <c r="H82" i="5"/>
  <c r="H89" i="5"/>
  <c r="H74" i="35" s="1"/>
  <c r="G88" i="5"/>
  <c r="G83" i="5"/>
  <c r="L15" i="4"/>
  <c r="D127" i="5"/>
  <c r="J34" i="6"/>
  <c r="G41" i="6"/>
  <c r="I43" i="6"/>
  <c r="E43" i="6"/>
  <c r="D44" i="6"/>
  <c r="C135" i="5"/>
  <c r="F80" i="5"/>
  <c r="L132" i="5"/>
  <c r="L89" i="5"/>
  <c r="L74" i="35" s="1"/>
  <c r="J125" i="5" l="1"/>
  <c r="H127" i="5"/>
  <c r="J128" i="5"/>
  <c r="H129" i="5"/>
  <c r="E130" i="5"/>
  <c r="C131" i="5"/>
  <c r="E131" i="5"/>
  <c r="I45" i="6"/>
  <c r="J123" i="5"/>
  <c r="E134" i="5"/>
  <c r="G45" i="6"/>
  <c r="C45" i="6"/>
  <c r="D123" i="5"/>
  <c r="H124" i="5"/>
  <c r="C134" i="5"/>
  <c r="G134" i="5"/>
  <c r="G132" i="5"/>
  <c r="D124" i="5"/>
  <c r="K41" i="6"/>
  <c r="I124" i="5"/>
  <c r="H130" i="5"/>
  <c r="D131" i="5"/>
  <c r="C133" i="5"/>
  <c r="E133" i="5"/>
  <c r="I133" i="5"/>
  <c r="F75" i="35"/>
  <c r="D42" i="6"/>
  <c r="J71" i="35"/>
  <c r="D71" i="35"/>
  <c r="H71" i="35"/>
  <c r="D36" i="35"/>
  <c r="F36" i="35"/>
  <c r="H36" i="35"/>
  <c r="J36" i="35"/>
  <c r="D55" i="35"/>
  <c r="F55" i="35"/>
  <c r="H55" i="35"/>
  <c r="J55" i="35"/>
  <c r="J75" i="35"/>
  <c r="F71" i="35"/>
  <c r="D75" i="35"/>
  <c r="D126" i="5"/>
  <c r="J126" i="5"/>
  <c r="F127" i="5"/>
  <c r="J127" i="5"/>
  <c r="F129" i="5"/>
  <c r="J129" i="5"/>
  <c r="P99" i="5"/>
  <c r="P114" i="5"/>
  <c r="H10" i="8"/>
  <c r="G130" i="5"/>
  <c r="J10" i="8"/>
  <c r="L10" i="8" s="1"/>
  <c r="G10" i="8"/>
  <c r="F10" i="8"/>
  <c r="P70" i="5"/>
  <c r="P100" i="5"/>
  <c r="P115" i="5"/>
  <c r="H11" i="8"/>
  <c r="G131" i="5"/>
  <c r="J11" i="8"/>
  <c r="G11" i="8"/>
  <c r="F11" i="8"/>
  <c r="P71" i="5"/>
  <c r="P101" i="5"/>
  <c r="P116" i="5"/>
  <c r="H12" i="8"/>
  <c r="D9" i="35" s="1"/>
  <c r="G12" i="8"/>
  <c r="P72" i="5"/>
  <c r="P102" i="5"/>
  <c r="P117" i="5"/>
  <c r="H14" i="8"/>
  <c r="D10" i="35" s="1"/>
  <c r="G14" i="8"/>
  <c r="P74" i="5"/>
  <c r="P104" i="5"/>
  <c r="P119" i="5"/>
  <c r="F72" i="35"/>
  <c r="H72" i="35"/>
  <c r="F33" i="35"/>
  <c r="J33" i="35"/>
  <c r="J12" i="8"/>
  <c r="E9" i="35" s="1"/>
  <c r="C9" i="35" s="1"/>
  <c r="I34" i="35"/>
  <c r="F12" i="8"/>
  <c r="Z12" i="8" s="1"/>
  <c r="I53" i="35"/>
  <c r="J14" i="8"/>
  <c r="E10" i="35" s="1"/>
  <c r="I35" i="35"/>
  <c r="F14" i="8"/>
  <c r="I54" i="35"/>
  <c r="J72" i="35"/>
  <c r="D33" i="35"/>
  <c r="H33" i="35"/>
  <c r="H123" i="5"/>
  <c r="I130" i="5"/>
  <c r="F125" i="5"/>
  <c r="C132" i="5"/>
  <c r="F123" i="5"/>
  <c r="F124" i="5"/>
  <c r="I132" i="5"/>
  <c r="E132" i="5"/>
  <c r="E37" i="7"/>
  <c r="C37" i="7"/>
  <c r="J124" i="5"/>
  <c r="H128" i="5"/>
  <c r="I85" i="5"/>
  <c r="L44" i="6"/>
  <c r="L35" i="6"/>
  <c r="H3" i="8"/>
  <c r="D6" i="35" s="1"/>
  <c r="J3" i="8"/>
  <c r="E6" i="35" s="1"/>
  <c r="I31" i="35"/>
  <c r="G3" i="8"/>
  <c r="AA3" i="8" s="1"/>
  <c r="F3" i="8"/>
  <c r="I50" i="35"/>
  <c r="H4" i="8"/>
  <c r="J4" i="8"/>
  <c r="I32" i="35"/>
  <c r="G4" i="8"/>
  <c r="F4" i="8"/>
  <c r="Z4" i="8" s="1"/>
  <c r="I51" i="35"/>
  <c r="C71" i="35"/>
  <c r="E71" i="35"/>
  <c r="H5" i="8"/>
  <c r="C36" i="35"/>
  <c r="E36" i="35"/>
  <c r="G36" i="35"/>
  <c r="J5" i="8"/>
  <c r="L5" i="8" s="1"/>
  <c r="I36" i="35"/>
  <c r="G5" i="8"/>
  <c r="AA5" i="8" s="1"/>
  <c r="C55" i="35"/>
  <c r="E55" i="35"/>
  <c r="G55" i="35"/>
  <c r="F5" i="8"/>
  <c r="Z5" i="8" s="1"/>
  <c r="I55" i="35"/>
  <c r="C75" i="35"/>
  <c r="E75" i="35"/>
  <c r="G75" i="35"/>
  <c r="H6" i="8"/>
  <c r="J6" i="8"/>
  <c r="L6" i="8" s="1"/>
  <c r="G6" i="8"/>
  <c r="F6" i="8"/>
  <c r="H7" i="8"/>
  <c r="C72" i="35"/>
  <c r="C33" i="35"/>
  <c r="E33" i="35"/>
  <c r="G33" i="35"/>
  <c r="I33" i="35"/>
  <c r="J44" i="30"/>
  <c r="H44" i="30"/>
  <c r="F44" i="30"/>
  <c r="D44" i="30"/>
  <c r="C52" i="30"/>
  <c r="I52" i="30"/>
  <c r="G52" i="30"/>
  <c r="E52" i="30"/>
  <c r="J7" i="8"/>
  <c r="G7" i="8"/>
  <c r="F7" i="8"/>
  <c r="H8" i="8"/>
  <c r="J8" i="8"/>
  <c r="E8" i="35" s="1"/>
  <c r="G8" i="8"/>
  <c r="J15" i="8"/>
  <c r="G15" i="8"/>
  <c r="F15" i="8"/>
  <c r="Z15" i="8" s="1"/>
  <c r="P75" i="5"/>
  <c r="P105" i="5"/>
  <c r="P120" i="5"/>
  <c r="H13" i="8"/>
  <c r="J13" i="8"/>
  <c r="G13" i="8"/>
  <c r="F13" i="8"/>
  <c r="P73" i="5"/>
  <c r="P103" i="5"/>
  <c r="P118" i="5"/>
  <c r="AC3" i="8"/>
  <c r="O3" i="6"/>
  <c r="AD3" i="8"/>
  <c r="O18" i="6"/>
  <c r="I34" i="6"/>
  <c r="AC4" i="8"/>
  <c r="O4" i="6"/>
  <c r="AD4" i="8"/>
  <c r="O19" i="6"/>
  <c r="AC5" i="8"/>
  <c r="O5" i="6"/>
  <c r="AD5" i="8"/>
  <c r="O20" i="6"/>
  <c r="I36" i="6"/>
  <c r="AC6" i="8"/>
  <c r="O6" i="6"/>
  <c r="AD6" i="8"/>
  <c r="O21" i="6"/>
  <c r="I37" i="6"/>
  <c r="AC7" i="8"/>
  <c r="O7" i="6"/>
  <c r="AD7" i="8"/>
  <c r="O22" i="6"/>
  <c r="I38" i="6"/>
  <c r="AC8" i="8"/>
  <c r="O8" i="6"/>
  <c r="AD8" i="8"/>
  <c r="O23" i="6"/>
  <c r="F8" i="8"/>
  <c r="AC9" i="8"/>
  <c r="O9" i="6"/>
  <c r="AD9" i="8"/>
  <c r="O24" i="6"/>
  <c r="H9" i="8"/>
  <c r="J9" i="8"/>
  <c r="G9" i="8"/>
  <c r="F9" i="8"/>
  <c r="M6" i="22"/>
  <c r="M6" i="28" s="1"/>
  <c r="M8" i="22"/>
  <c r="M8" i="28" s="1"/>
  <c r="M10" i="22"/>
  <c r="M10" i="28" s="1"/>
  <c r="M12" i="22"/>
  <c r="M12" i="28" s="1"/>
  <c r="M14" i="22"/>
  <c r="M14" i="28" s="1"/>
  <c r="M16" i="22"/>
  <c r="M16" i="28" s="1"/>
  <c r="M7" i="22"/>
  <c r="M7" i="28" s="1"/>
  <c r="M9" i="22"/>
  <c r="M9" i="28" s="1"/>
  <c r="M11" i="22"/>
  <c r="M11" i="28" s="1"/>
  <c r="M13" i="22"/>
  <c r="M13" i="28" s="1"/>
  <c r="M15" i="22"/>
  <c r="M15" i="28" s="1"/>
  <c r="M17" i="22"/>
  <c r="M17" i="28" s="1"/>
  <c r="M18" i="22"/>
  <c r="M18" i="28" s="1"/>
  <c r="AC10" i="8"/>
  <c r="O10" i="6"/>
  <c r="AD10" i="8"/>
  <c r="O25" i="6"/>
  <c r="AC11" i="8"/>
  <c r="O11" i="6"/>
  <c r="AD11" i="8"/>
  <c r="O26" i="6"/>
  <c r="AC12" i="8"/>
  <c r="O12" i="6"/>
  <c r="AD12" i="8"/>
  <c r="O27" i="6"/>
  <c r="AC14" i="8"/>
  <c r="O14" i="6"/>
  <c r="AD14" i="8"/>
  <c r="O29" i="6"/>
  <c r="AC15" i="8"/>
  <c r="O15" i="6"/>
  <c r="AD15" i="8"/>
  <c r="O30" i="6"/>
  <c r="AC13" i="8"/>
  <c r="O13" i="6"/>
  <c r="AD13" i="8"/>
  <c r="O28" i="6"/>
  <c r="P3" i="5"/>
  <c r="P18" i="5"/>
  <c r="P33" i="5"/>
  <c r="P48" i="5"/>
  <c r="P63" i="5"/>
  <c r="P93" i="5"/>
  <c r="P108" i="5"/>
  <c r="P4" i="5"/>
  <c r="P19" i="5"/>
  <c r="P34" i="5"/>
  <c r="P49" i="5"/>
  <c r="P64" i="5"/>
  <c r="I79" i="5"/>
  <c r="P94" i="5"/>
  <c r="P109" i="5"/>
  <c r="P5" i="5"/>
  <c r="P20" i="5"/>
  <c r="P35" i="5"/>
  <c r="P50" i="5"/>
  <c r="P65" i="5"/>
  <c r="I80" i="5"/>
  <c r="P95" i="5"/>
  <c r="P110" i="5"/>
  <c r="P6" i="5"/>
  <c r="P21" i="5"/>
  <c r="P36" i="5"/>
  <c r="P51" i="5"/>
  <c r="P66" i="5"/>
  <c r="P96" i="5"/>
  <c r="P111" i="5"/>
  <c r="P7" i="5"/>
  <c r="P22" i="5"/>
  <c r="P37" i="5"/>
  <c r="Z7" i="8"/>
  <c r="P52" i="5"/>
  <c r="P67" i="5"/>
  <c r="P97" i="5"/>
  <c r="P112" i="5"/>
  <c r="P8" i="5"/>
  <c r="P23" i="5"/>
  <c r="P38" i="5"/>
  <c r="P53" i="5"/>
  <c r="P68" i="5"/>
  <c r="P98" i="5"/>
  <c r="P113" i="5"/>
  <c r="P9" i="5"/>
  <c r="P24" i="5"/>
  <c r="P39" i="5"/>
  <c r="P54" i="5"/>
  <c r="H69" i="5"/>
  <c r="P69" i="5"/>
  <c r="P10" i="5"/>
  <c r="P25" i="5"/>
  <c r="P40" i="5"/>
  <c r="P55" i="5"/>
  <c r="P11" i="5"/>
  <c r="P26" i="5"/>
  <c r="P41" i="5"/>
  <c r="P56" i="5"/>
  <c r="P12" i="5"/>
  <c r="P27" i="5"/>
  <c r="P42" i="5"/>
  <c r="P57" i="5"/>
  <c r="P14" i="5"/>
  <c r="P29" i="5"/>
  <c r="P44" i="5"/>
  <c r="P59" i="5"/>
  <c r="P15" i="5"/>
  <c r="P30" i="5"/>
  <c r="P45" i="5"/>
  <c r="P60" i="5"/>
  <c r="P13" i="5"/>
  <c r="P28" i="5"/>
  <c r="P43" i="5"/>
  <c r="P58" i="5"/>
  <c r="L42" i="6"/>
  <c r="L82" i="5"/>
  <c r="E3" i="1"/>
  <c r="E37" i="1" s="1"/>
  <c r="D2" i="4"/>
  <c r="D28" i="4" s="1"/>
  <c r="D2" i="27"/>
  <c r="D28" i="27" s="1"/>
  <c r="H3" i="7"/>
  <c r="H26" i="7" s="1"/>
  <c r="H3" i="1"/>
  <c r="H26" i="1" s="1"/>
  <c r="C3" i="1"/>
  <c r="C37" i="1" s="1"/>
  <c r="D38" i="27"/>
  <c r="E3" i="4"/>
  <c r="E31" i="4" s="1"/>
  <c r="D2" i="1"/>
  <c r="D28" i="1" s="1"/>
  <c r="L34" i="27"/>
  <c r="L9" i="2"/>
  <c r="I2" i="7" s="1"/>
  <c r="I36" i="7" s="1"/>
  <c r="L10" i="2"/>
  <c r="I3" i="27" s="1"/>
  <c r="K9" i="2"/>
  <c r="H2" i="4" s="1"/>
  <c r="H28" i="4" s="1"/>
  <c r="G10" i="2"/>
  <c r="D3" i="7" s="1"/>
  <c r="D2" i="7"/>
  <c r="D28" i="7" s="1"/>
  <c r="D8" i="22" s="1"/>
  <c r="L36" i="7"/>
  <c r="L36" i="4"/>
  <c r="E3" i="27"/>
  <c r="E37" i="27" s="1"/>
  <c r="H2" i="27"/>
  <c r="H36" i="27" s="1"/>
  <c r="C3" i="4"/>
  <c r="C27" i="4" s="1"/>
  <c r="C3" i="27"/>
  <c r="C37" i="27" s="1"/>
  <c r="F9" i="2"/>
  <c r="H9" i="2"/>
  <c r="E2" i="27" s="1"/>
  <c r="E28" i="27" s="1"/>
  <c r="N10" i="2"/>
  <c r="K3" i="4" s="1"/>
  <c r="K31" i="4" s="1"/>
  <c r="J10" i="2"/>
  <c r="G3" i="27" s="1"/>
  <c r="M9" i="2"/>
  <c r="J2" i="27" s="1"/>
  <c r="I9" i="2"/>
  <c r="F2" i="1" s="1"/>
  <c r="F33" i="1" s="1"/>
  <c r="L37" i="1"/>
  <c r="M10" i="2"/>
  <c r="J3" i="1" s="1"/>
  <c r="J37" i="1" s="1"/>
  <c r="I10" i="2"/>
  <c r="N9" i="2"/>
  <c r="K2" i="27" s="1"/>
  <c r="K28" i="27" s="1"/>
  <c r="J9" i="2"/>
  <c r="L128" i="5"/>
  <c r="L130" i="5"/>
  <c r="L85" i="5"/>
  <c r="P85" i="5" s="1"/>
  <c r="L90" i="5"/>
  <c r="K33" i="6"/>
  <c r="K123" i="5"/>
  <c r="K78" i="5"/>
  <c r="K34" i="6"/>
  <c r="K124" i="5"/>
  <c r="K79" i="5"/>
  <c r="K35" i="6"/>
  <c r="K36" i="6"/>
  <c r="K81" i="5"/>
  <c r="K37" i="6"/>
  <c r="K127" i="5"/>
  <c r="K82" i="5"/>
  <c r="K83" i="5"/>
  <c r="K39" i="6"/>
  <c r="K129" i="5"/>
  <c r="K40" i="6"/>
  <c r="K86" i="5"/>
  <c r="K87" i="5"/>
  <c r="K73" i="35" s="1"/>
  <c r="K134" i="5"/>
  <c r="L43" i="6"/>
  <c r="L133" i="5"/>
  <c r="L88" i="5"/>
  <c r="L49" i="30"/>
  <c r="L50" i="30"/>
  <c r="J3" i="4"/>
  <c r="J37" i="4" s="1"/>
  <c r="F3" i="7"/>
  <c r="F26" i="7" s="1"/>
  <c r="K2" i="1"/>
  <c r="K33" i="1" s="1"/>
  <c r="G2" i="7"/>
  <c r="G28" i="7" s="1"/>
  <c r="I33" i="7"/>
  <c r="D2" i="28"/>
  <c r="H3" i="27"/>
  <c r="H26" i="27" s="1"/>
  <c r="H3" i="4"/>
  <c r="H35" i="4" s="1"/>
  <c r="L28" i="1"/>
  <c r="L34" i="1"/>
  <c r="H33" i="27"/>
  <c r="L36" i="1"/>
  <c r="L38" i="27"/>
  <c r="L33" i="1"/>
  <c r="E26" i="7"/>
  <c r="C26" i="7"/>
  <c r="L134" i="5"/>
  <c r="L126" i="5"/>
  <c r="E124" i="5"/>
  <c r="G125" i="5"/>
  <c r="C129" i="5"/>
  <c r="D132" i="5"/>
  <c r="J134" i="5"/>
  <c r="P134" i="5" s="1"/>
  <c r="D135" i="5"/>
  <c r="J133" i="5"/>
  <c r="L125" i="5"/>
  <c r="L86" i="5"/>
  <c r="L135" i="5"/>
  <c r="K43" i="6"/>
  <c r="K42" i="6"/>
  <c r="O42" i="6" s="1"/>
  <c r="K132" i="5"/>
  <c r="C124" i="5"/>
  <c r="I35" i="6"/>
  <c r="E125" i="5"/>
  <c r="I125" i="5"/>
  <c r="E126" i="5"/>
  <c r="C127" i="5"/>
  <c r="G127" i="5"/>
  <c r="G82" i="5"/>
  <c r="G72" i="35" s="1"/>
  <c r="C128" i="5"/>
  <c r="G128" i="5"/>
  <c r="D130" i="5"/>
  <c r="F130" i="5"/>
  <c r="H131" i="5"/>
  <c r="H86" i="5"/>
  <c r="F132" i="5"/>
  <c r="J132" i="5"/>
  <c r="D134" i="5"/>
  <c r="F134" i="5"/>
  <c r="H134" i="5"/>
  <c r="H135" i="5"/>
  <c r="H90" i="5"/>
  <c r="H43" i="6"/>
  <c r="F133" i="5"/>
  <c r="K130" i="5"/>
  <c r="K44" i="6"/>
  <c r="K135" i="5"/>
  <c r="I33" i="6"/>
  <c r="C123" i="5"/>
  <c r="G123" i="5"/>
  <c r="G124" i="5"/>
  <c r="C125" i="5"/>
  <c r="C126" i="5"/>
  <c r="E127" i="5"/>
  <c r="E128" i="5"/>
  <c r="I128" i="5"/>
  <c r="I83" i="5"/>
  <c r="I72" i="35" s="1"/>
  <c r="E129" i="5"/>
  <c r="I129" i="5"/>
  <c r="F131" i="5"/>
  <c r="H132" i="5"/>
  <c r="H87" i="5"/>
  <c r="H73" i="35" s="1"/>
  <c r="I81" i="5"/>
  <c r="H88" i="5"/>
  <c r="K45" i="6"/>
  <c r="G81" i="5"/>
  <c r="G71" i="35" s="1"/>
  <c r="H42" i="6"/>
  <c r="K89" i="5"/>
  <c r="I123" i="5"/>
  <c r="J45" i="6"/>
  <c r="L37" i="6"/>
  <c r="L127" i="5"/>
  <c r="I44" i="30"/>
  <c r="G44" i="30"/>
  <c r="E44" i="30"/>
  <c r="AA98" i="30"/>
  <c r="K15" i="1" s="1"/>
  <c r="J52" i="30"/>
  <c r="H52" i="30"/>
  <c r="F52" i="30"/>
  <c r="D52" i="30"/>
  <c r="K43" i="30"/>
  <c r="AA94" i="30" s="1"/>
  <c r="K11" i="1" s="1"/>
  <c r="L51" i="30"/>
  <c r="AB85" i="30" s="1"/>
  <c r="L19" i="27" s="1"/>
  <c r="L41" i="6"/>
  <c r="O41" i="6" s="1"/>
  <c r="Z11" i="8"/>
  <c r="L45" i="6"/>
  <c r="L36" i="6"/>
  <c r="K133" i="5"/>
  <c r="K90" i="5"/>
  <c r="I15" i="8" s="1"/>
  <c r="I126" i="5"/>
  <c r="I127" i="5"/>
  <c r="P127" i="5" s="1"/>
  <c r="G129" i="5"/>
  <c r="J130" i="5"/>
  <c r="J131" i="5"/>
  <c r="F135" i="5"/>
  <c r="J135" i="5"/>
  <c r="D133" i="5"/>
  <c r="H133" i="5"/>
  <c r="L81" i="5"/>
  <c r="L83" i="5"/>
  <c r="L87" i="5"/>
  <c r="L73" i="35" s="1"/>
  <c r="J43" i="30"/>
  <c r="Z94" i="30" s="1"/>
  <c r="J11" i="1" s="1"/>
  <c r="D43" i="30"/>
  <c r="T94" i="30" s="1"/>
  <c r="D11" i="1" s="1"/>
  <c r="L43" i="30"/>
  <c r="AB77" i="30" s="1"/>
  <c r="L11" i="27" s="1"/>
  <c r="J45" i="30"/>
  <c r="Z96" i="30" s="1"/>
  <c r="J13" i="1" s="1"/>
  <c r="H45" i="30"/>
  <c r="X96" i="30" s="1"/>
  <c r="H13" i="1" s="1"/>
  <c r="F45" i="30"/>
  <c r="V96" i="30" s="1"/>
  <c r="F13" i="1" s="1"/>
  <c r="D45" i="30"/>
  <c r="T96" i="30" s="1"/>
  <c r="D13" i="1" s="1"/>
  <c r="L45" i="30"/>
  <c r="AB96" i="30" s="1"/>
  <c r="L13" i="1" s="1"/>
  <c r="J46" i="30"/>
  <c r="H46" i="30"/>
  <c r="X80" i="30" s="1"/>
  <c r="H14" i="27" s="1"/>
  <c r="F46" i="30"/>
  <c r="V97" i="30" s="1"/>
  <c r="F14" i="1" s="1"/>
  <c r="D46" i="30"/>
  <c r="T97" i="30" s="1"/>
  <c r="D14" i="1" s="1"/>
  <c r="L46" i="30"/>
  <c r="AB97" i="30" s="1"/>
  <c r="L14" i="1" s="1"/>
  <c r="L84" i="5"/>
  <c r="C44" i="30"/>
  <c r="K49" i="30"/>
  <c r="K50" i="30"/>
  <c r="C48" i="30"/>
  <c r="S99" i="30" s="1"/>
  <c r="C16" i="1" s="1"/>
  <c r="I48" i="30"/>
  <c r="Y99" i="30" s="1"/>
  <c r="I16" i="1" s="1"/>
  <c r="G48" i="30"/>
  <c r="W99" i="30" s="1"/>
  <c r="G16" i="1" s="1"/>
  <c r="E48" i="30"/>
  <c r="K48" i="30"/>
  <c r="AA82" i="30" s="1"/>
  <c r="K16" i="27" s="1"/>
  <c r="C51" i="30"/>
  <c r="S102" i="30" s="1"/>
  <c r="C19" i="1" s="1"/>
  <c r="I51" i="30"/>
  <c r="Y102" i="30" s="1"/>
  <c r="I19" i="1" s="1"/>
  <c r="G51" i="30"/>
  <c r="W102" i="30" s="1"/>
  <c r="G19" i="1" s="1"/>
  <c r="E51" i="30"/>
  <c r="U102" i="30" s="1"/>
  <c r="E19" i="1" s="1"/>
  <c r="L80" i="5"/>
  <c r="K125" i="5"/>
  <c r="K80" i="5"/>
  <c r="K88" i="5"/>
  <c r="L38" i="6"/>
  <c r="L39" i="6"/>
  <c r="K51" i="30"/>
  <c r="AA102" i="30" s="1"/>
  <c r="K19" i="1" s="1"/>
  <c r="K38" i="6"/>
  <c r="K128" i="5"/>
  <c r="K84" i="5"/>
  <c r="K131" i="5"/>
  <c r="E123" i="5"/>
  <c r="C54" i="30"/>
  <c r="I54" i="30"/>
  <c r="G54" i="30"/>
  <c r="E54" i="30"/>
  <c r="C42" i="30"/>
  <c r="Z60" i="30"/>
  <c r="J11" i="7" s="1"/>
  <c r="L123" i="5"/>
  <c r="L40" i="6"/>
  <c r="L131" i="5"/>
  <c r="L79" i="5"/>
  <c r="K126" i="5"/>
  <c r="L34" i="6"/>
  <c r="J54" i="30"/>
  <c r="H54" i="30"/>
  <c r="F54" i="30"/>
  <c r="D54" i="30"/>
  <c r="C43" i="30"/>
  <c r="S94" i="30" s="1"/>
  <c r="C11" i="1" s="1"/>
  <c r="I43" i="30"/>
  <c r="Y60" i="30" s="1"/>
  <c r="I11" i="7" s="1"/>
  <c r="G43" i="30"/>
  <c r="W94" i="30" s="1"/>
  <c r="G11" i="1" s="1"/>
  <c r="E43" i="30"/>
  <c r="W60" i="30"/>
  <c r="G11" i="7" s="1"/>
  <c r="L33" i="6"/>
  <c r="U64" i="30"/>
  <c r="E15" i="7" s="1"/>
  <c r="E31" i="7" s="1"/>
  <c r="U81" i="30"/>
  <c r="E15" i="27" s="1"/>
  <c r="W64" i="30"/>
  <c r="G15" i="7" s="1"/>
  <c r="W81" i="30"/>
  <c r="G15" i="27" s="1"/>
  <c r="Y64" i="30"/>
  <c r="I15" i="7" s="1"/>
  <c r="Y81" i="30"/>
  <c r="I15" i="27" s="1"/>
  <c r="S64" i="30"/>
  <c r="C15" i="7" s="1"/>
  <c r="C31" i="7" s="1"/>
  <c r="S81" i="30"/>
  <c r="C15" i="27" s="1"/>
  <c r="AA64" i="30"/>
  <c r="K15" i="7" s="1"/>
  <c r="AA81" i="30"/>
  <c r="K15" i="27" s="1"/>
  <c r="T64" i="30"/>
  <c r="D15" i="7" s="1"/>
  <c r="T81" i="30"/>
  <c r="D15" i="27" s="1"/>
  <c r="V64" i="30"/>
  <c r="F15" i="7" s="1"/>
  <c r="V81" i="30"/>
  <c r="F15" i="27" s="1"/>
  <c r="X64" i="30"/>
  <c r="H15" i="7" s="1"/>
  <c r="X81" i="30"/>
  <c r="H15" i="27" s="1"/>
  <c r="Z64" i="30"/>
  <c r="J15" i="7" s="1"/>
  <c r="Z81" i="30"/>
  <c r="J15" i="27" s="1"/>
  <c r="T60" i="30"/>
  <c r="D11" i="7" s="1"/>
  <c r="H43" i="30"/>
  <c r="X60" i="30" s="1"/>
  <c r="H11" i="7" s="1"/>
  <c r="F43" i="30"/>
  <c r="C45" i="30"/>
  <c r="S62" i="30" s="1"/>
  <c r="C13" i="7" s="1"/>
  <c r="C29" i="7" s="1"/>
  <c r="I45" i="30"/>
  <c r="Y62" i="30" s="1"/>
  <c r="I13" i="7" s="1"/>
  <c r="G45" i="30"/>
  <c r="E45" i="30"/>
  <c r="U62" i="30" s="1"/>
  <c r="E13" i="7" s="1"/>
  <c r="E29" i="7" s="1"/>
  <c r="K45" i="30"/>
  <c r="AA62" i="30" s="1"/>
  <c r="K13" i="7" s="1"/>
  <c r="C46" i="30"/>
  <c r="S97" i="30" s="1"/>
  <c r="C14" i="1" s="1"/>
  <c r="I46" i="30"/>
  <c r="Y97" i="30" s="1"/>
  <c r="I14" i="1" s="1"/>
  <c r="G46" i="30"/>
  <c r="W97" i="30" s="1"/>
  <c r="G14" i="1" s="1"/>
  <c r="E46" i="30"/>
  <c r="U97" i="30" s="1"/>
  <c r="E14" i="1" s="1"/>
  <c r="E30" i="1" s="1"/>
  <c r="K46" i="30"/>
  <c r="AA97" i="30" s="1"/>
  <c r="K14" i="1" s="1"/>
  <c r="L47" i="30"/>
  <c r="AB98" i="30" s="1"/>
  <c r="L15" i="1" s="1"/>
  <c r="J48" i="30"/>
  <c r="Z99" i="30" s="1"/>
  <c r="J16" i="1" s="1"/>
  <c r="H48" i="30"/>
  <c r="X99" i="30" s="1"/>
  <c r="H16" i="1" s="1"/>
  <c r="H32" i="1" s="1"/>
  <c r="F48" i="30"/>
  <c r="V99" i="30" s="1"/>
  <c r="F16" i="1" s="1"/>
  <c r="D48" i="30"/>
  <c r="T99" i="30" s="1"/>
  <c r="D16" i="1" s="1"/>
  <c r="L48" i="30"/>
  <c r="AB99" i="30" s="1"/>
  <c r="L16" i="1" s="1"/>
  <c r="J51" i="30"/>
  <c r="Z102" i="30" s="1"/>
  <c r="J19" i="1" s="1"/>
  <c r="J35" i="1" s="1"/>
  <c r="H51" i="30"/>
  <c r="X102" i="30" s="1"/>
  <c r="H19" i="1" s="1"/>
  <c r="F51" i="30"/>
  <c r="V102" i="30" s="1"/>
  <c r="F19" i="1" s="1"/>
  <c r="D51" i="30"/>
  <c r="T102" i="30" s="1"/>
  <c r="D19" i="1" s="1"/>
  <c r="X77" i="30"/>
  <c r="H11" i="27" s="1"/>
  <c r="T77" i="30"/>
  <c r="D11" i="27" s="1"/>
  <c r="L4" i="8"/>
  <c r="AA13" i="8" l="1"/>
  <c r="L71" i="35"/>
  <c r="I9" i="8"/>
  <c r="AA12" i="8"/>
  <c r="L75" i="35"/>
  <c r="P129" i="5"/>
  <c r="O44" i="6"/>
  <c r="AE13" i="8"/>
  <c r="P124" i="5"/>
  <c r="L12" i="8"/>
  <c r="C17" i="22"/>
  <c r="D11" i="35"/>
  <c r="L9" i="8"/>
  <c r="E17" i="22"/>
  <c r="AE15" i="8"/>
  <c r="C29" i="4"/>
  <c r="AB94" i="30"/>
  <c r="L11" i="1" s="1"/>
  <c r="L27" i="1" s="1"/>
  <c r="V80" i="30"/>
  <c r="F14" i="27" s="1"/>
  <c r="P132" i="5"/>
  <c r="L14" i="8"/>
  <c r="AE10" i="8"/>
  <c r="AE9" i="8"/>
  <c r="I75" i="35"/>
  <c r="Z3" i="8"/>
  <c r="AA9" i="8"/>
  <c r="L13" i="8"/>
  <c r="D8" i="35"/>
  <c r="C8" i="35" s="1"/>
  <c r="C10" i="35"/>
  <c r="K75" i="35"/>
  <c r="AE3" i="8"/>
  <c r="AE8" i="8"/>
  <c r="AE6" i="8"/>
  <c r="AE11" i="8"/>
  <c r="H75" i="35"/>
  <c r="O35" i="6"/>
  <c r="AE5" i="8"/>
  <c r="K71" i="35"/>
  <c r="L72" i="35"/>
  <c r="AE7" i="8"/>
  <c r="AE4" i="8"/>
  <c r="AE12" i="8"/>
  <c r="AE14" i="8"/>
  <c r="AA8" i="8"/>
  <c r="I14" i="8"/>
  <c r="K74" i="35"/>
  <c r="I7" i="8"/>
  <c r="K72" i="35"/>
  <c r="I71" i="35"/>
  <c r="E7" i="35"/>
  <c r="X68" i="30"/>
  <c r="H19" i="7" s="1"/>
  <c r="H35" i="7" s="1"/>
  <c r="Y94" i="30"/>
  <c r="I11" i="1" s="1"/>
  <c r="AB68" i="30"/>
  <c r="L19" i="7" s="1"/>
  <c r="I13" i="8"/>
  <c r="O43" i="6"/>
  <c r="I3" i="8"/>
  <c r="K70" i="35"/>
  <c r="E11" i="35"/>
  <c r="C11" i="35" s="1"/>
  <c r="D7" i="35"/>
  <c r="C6" i="35"/>
  <c r="I11" i="8"/>
  <c r="O45" i="6"/>
  <c r="I12" i="8"/>
  <c r="O40" i="6"/>
  <c r="O39" i="6"/>
  <c r="P130" i="5"/>
  <c r="I6" i="8"/>
  <c r="O33" i="6"/>
  <c r="P135" i="5"/>
  <c r="P133" i="5"/>
  <c r="P88" i="5"/>
  <c r="I5" i="8"/>
  <c r="I4" i="8"/>
  <c r="P78" i="5"/>
  <c r="P84" i="5"/>
  <c r="O38" i="6"/>
  <c r="O36" i="6"/>
  <c r="P131" i="5"/>
  <c r="P123" i="5"/>
  <c r="I8" i="8"/>
  <c r="P86" i="5"/>
  <c r="P89" i="5"/>
  <c r="O37" i="6"/>
  <c r="O34" i="6"/>
  <c r="I10" i="8"/>
  <c r="P81" i="5"/>
  <c r="P80" i="5"/>
  <c r="P79" i="5"/>
  <c r="P82" i="5"/>
  <c r="P87" i="5"/>
  <c r="P90" i="5"/>
  <c r="AB12" i="8"/>
  <c r="P126" i="5"/>
  <c r="P83" i="5"/>
  <c r="P128" i="5"/>
  <c r="P125" i="5"/>
  <c r="Z13" i="8"/>
  <c r="AA14" i="8"/>
  <c r="AA4" i="8"/>
  <c r="L8" i="8"/>
  <c r="AB5" i="8"/>
  <c r="Z14" i="8"/>
  <c r="AB14" i="8" s="1"/>
  <c r="Y80" i="30"/>
  <c r="I14" i="27" s="1"/>
  <c r="AB102" i="30"/>
  <c r="L19" i="1" s="1"/>
  <c r="L35" i="1" s="1"/>
  <c r="AA7" i="8"/>
  <c r="AB7" i="8" s="1"/>
  <c r="C32" i="4"/>
  <c r="H31" i="27"/>
  <c r="L34" i="4"/>
  <c r="I2" i="4"/>
  <c r="I33" i="4" s="1"/>
  <c r="D34" i="7"/>
  <c r="E26" i="1"/>
  <c r="C26" i="27"/>
  <c r="C6" i="22" s="1"/>
  <c r="J29" i="1"/>
  <c r="D36" i="7"/>
  <c r="I28" i="7"/>
  <c r="D38" i="1"/>
  <c r="D34" i="27"/>
  <c r="K38" i="27"/>
  <c r="I34" i="7"/>
  <c r="I38" i="7"/>
  <c r="I2" i="27"/>
  <c r="I28" i="27" s="1"/>
  <c r="H30" i="4"/>
  <c r="J35" i="4"/>
  <c r="K36" i="27"/>
  <c r="D8" i="28"/>
  <c r="H35" i="1"/>
  <c r="J32" i="1"/>
  <c r="E35" i="1"/>
  <c r="H29" i="1"/>
  <c r="J27" i="1"/>
  <c r="D38" i="7"/>
  <c r="D18" i="22" s="1"/>
  <c r="D33" i="7"/>
  <c r="H31" i="1"/>
  <c r="L33" i="4"/>
  <c r="E31" i="1"/>
  <c r="D36" i="1"/>
  <c r="D36" i="27"/>
  <c r="H37" i="4"/>
  <c r="H37" i="1"/>
  <c r="D34" i="1"/>
  <c r="D33" i="1"/>
  <c r="D33" i="27"/>
  <c r="C30" i="4"/>
  <c r="L38" i="4"/>
  <c r="I2" i="1"/>
  <c r="I28" i="1" s="1"/>
  <c r="K34" i="27"/>
  <c r="K28" i="1"/>
  <c r="C35" i="1"/>
  <c r="L33" i="7"/>
  <c r="D13" i="22"/>
  <c r="D34" i="4"/>
  <c r="H27" i="7"/>
  <c r="H31" i="7"/>
  <c r="H11" i="22" s="1"/>
  <c r="D36" i="4"/>
  <c r="D38" i="4"/>
  <c r="H34" i="4"/>
  <c r="D33" i="4"/>
  <c r="E32" i="4"/>
  <c r="E30" i="4"/>
  <c r="E29" i="4"/>
  <c r="E27" i="4"/>
  <c r="D3" i="1"/>
  <c r="C26" i="1"/>
  <c r="J33" i="27"/>
  <c r="J34" i="27"/>
  <c r="L32" i="1"/>
  <c r="C30" i="1"/>
  <c r="C31" i="27"/>
  <c r="C11" i="22" s="1"/>
  <c r="G31" i="27"/>
  <c r="E31" i="27"/>
  <c r="E11" i="22" s="1"/>
  <c r="E11" i="28" s="1"/>
  <c r="C27" i="1"/>
  <c r="C32" i="1"/>
  <c r="L30" i="1"/>
  <c r="H37" i="7"/>
  <c r="L33" i="27"/>
  <c r="C31" i="1"/>
  <c r="H36" i="4"/>
  <c r="F36" i="1"/>
  <c r="H38" i="4"/>
  <c r="H33" i="4"/>
  <c r="H6" i="22"/>
  <c r="E26" i="27"/>
  <c r="E6" i="22" s="1"/>
  <c r="H37" i="27"/>
  <c r="K2" i="7"/>
  <c r="K34" i="7" s="1"/>
  <c r="J3" i="7"/>
  <c r="J26" i="7" s="1"/>
  <c r="D3" i="4"/>
  <c r="D32" i="4" s="1"/>
  <c r="D26" i="7"/>
  <c r="D37" i="7"/>
  <c r="I37" i="27"/>
  <c r="I26" i="27"/>
  <c r="D27" i="7"/>
  <c r="I31" i="27"/>
  <c r="K2" i="4"/>
  <c r="K36" i="4" s="1"/>
  <c r="J3" i="27"/>
  <c r="D3" i="27"/>
  <c r="D26" i="27" s="1"/>
  <c r="H2" i="7"/>
  <c r="H2" i="1"/>
  <c r="I3" i="7"/>
  <c r="I29" i="7" s="1"/>
  <c r="I3" i="4"/>
  <c r="I3" i="1"/>
  <c r="I30" i="1" s="1"/>
  <c r="L36" i="27"/>
  <c r="L16" i="22" s="1"/>
  <c r="L16" i="28" s="1"/>
  <c r="L28" i="27"/>
  <c r="E35" i="4"/>
  <c r="E26" i="4"/>
  <c r="E37" i="4"/>
  <c r="E17" i="28" s="1"/>
  <c r="E26" i="35" s="1"/>
  <c r="G2" i="4"/>
  <c r="G2" i="1"/>
  <c r="F3" i="27"/>
  <c r="F3" i="4"/>
  <c r="J2" i="7"/>
  <c r="J2" i="1"/>
  <c r="K3" i="7"/>
  <c r="K3" i="27"/>
  <c r="K32" i="27" s="1"/>
  <c r="C2" i="7"/>
  <c r="C2" i="4"/>
  <c r="C2" i="27"/>
  <c r="H28" i="27"/>
  <c r="H38" i="27"/>
  <c r="I30" i="27"/>
  <c r="H27" i="27"/>
  <c r="L31" i="1"/>
  <c r="J31" i="7"/>
  <c r="F31" i="7"/>
  <c r="D31" i="7"/>
  <c r="L35" i="27"/>
  <c r="H30" i="27"/>
  <c r="J27" i="7"/>
  <c r="L29" i="1"/>
  <c r="L28" i="7"/>
  <c r="F37" i="7"/>
  <c r="L38" i="7"/>
  <c r="L18" i="22" s="1"/>
  <c r="L34" i="7"/>
  <c r="L14" i="22" s="1"/>
  <c r="J38" i="27"/>
  <c r="H34" i="27"/>
  <c r="L28" i="4"/>
  <c r="C2" i="1"/>
  <c r="C28" i="1" s="1"/>
  <c r="K3" i="1"/>
  <c r="K30" i="1" s="1"/>
  <c r="J2" i="4"/>
  <c r="L26" i="4"/>
  <c r="G2" i="27"/>
  <c r="G33" i="27" s="1"/>
  <c r="F3" i="1"/>
  <c r="J31" i="1"/>
  <c r="J26" i="1"/>
  <c r="F2" i="7"/>
  <c r="F2" i="4"/>
  <c r="F2" i="27"/>
  <c r="G3" i="7"/>
  <c r="G3" i="1"/>
  <c r="G30" i="1" s="1"/>
  <c r="G3" i="4"/>
  <c r="E2" i="7"/>
  <c r="E2" i="1"/>
  <c r="E2" i="4"/>
  <c r="I36" i="27"/>
  <c r="C26" i="4"/>
  <c r="C35" i="4"/>
  <c r="C37" i="4"/>
  <c r="C31" i="4"/>
  <c r="K33" i="27"/>
  <c r="D29" i="4"/>
  <c r="L11" i="8"/>
  <c r="AB3" i="8"/>
  <c r="L3" i="8"/>
  <c r="AB60" i="30"/>
  <c r="L11" i="7" s="1"/>
  <c r="L7" i="8"/>
  <c r="AA77" i="30"/>
  <c r="K11" i="27" s="1"/>
  <c r="AA60" i="30"/>
  <c r="K11" i="7" s="1"/>
  <c r="AA10" i="8"/>
  <c r="Z6" i="8"/>
  <c r="K37" i="4"/>
  <c r="K32" i="4"/>
  <c r="K26" i="4"/>
  <c r="G26" i="27"/>
  <c r="G37" i="27"/>
  <c r="J28" i="27"/>
  <c r="J36" i="27"/>
  <c r="I38" i="4"/>
  <c r="I28" i="4"/>
  <c r="E34" i="27"/>
  <c r="E36" i="27"/>
  <c r="E33" i="27"/>
  <c r="E38" i="27"/>
  <c r="K35" i="4"/>
  <c r="K30" i="4"/>
  <c r="K27" i="4"/>
  <c r="G34" i="7"/>
  <c r="G36" i="7"/>
  <c r="G33" i="7"/>
  <c r="G38" i="7"/>
  <c r="J32" i="4"/>
  <c r="J27" i="4"/>
  <c r="J29" i="4"/>
  <c r="J26" i="4"/>
  <c r="J31" i="4"/>
  <c r="J30" i="4"/>
  <c r="L26" i="1"/>
  <c r="F34" i="1"/>
  <c r="F28" i="1"/>
  <c r="F38" i="1"/>
  <c r="H29" i="4"/>
  <c r="H32" i="4"/>
  <c r="H26" i="4"/>
  <c r="H27" i="4"/>
  <c r="H31" i="4"/>
  <c r="I38" i="1"/>
  <c r="K29" i="4"/>
  <c r="K36" i="1"/>
  <c r="K38" i="1"/>
  <c r="K34" i="1"/>
  <c r="K38" i="7"/>
  <c r="AB81" i="30"/>
  <c r="L15" i="27" s="1"/>
  <c r="X82" i="30"/>
  <c r="H16" i="27" s="1"/>
  <c r="H32" i="27" s="1"/>
  <c r="U80" i="30"/>
  <c r="E14" i="27" s="1"/>
  <c r="E30" i="27" s="1"/>
  <c r="Z62" i="30"/>
  <c r="J13" i="7" s="1"/>
  <c r="AB62" i="30"/>
  <c r="Z10" i="8"/>
  <c r="Z65" i="30"/>
  <c r="J16" i="7" s="1"/>
  <c r="T80" i="30"/>
  <c r="D14" i="27" s="1"/>
  <c r="V62" i="30"/>
  <c r="F13" i="7" s="1"/>
  <c r="F29" i="7" s="1"/>
  <c r="L15" i="8"/>
  <c r="Z9" i="8"/>
  <c r="AA6" i="8"/>
  <c r="Z8" i="8"/>
  <c r="AB13" i="8"/>
  <c r="AA11" i="8"/>
  <c r="AB11" i="8" s="1"/>
  <c r="AA15" i="8"/>
  <c r="AB15" i="8" s="1"/>
  <c r="Z97" i="30"/>
  <c r="J14" i="1" s="1"/>
  <c r="J30" i="1" s="1"/>
  <c r="Z80" i="30"/>
  <c r="J14" i="27" s="1"/>
  <c r="T79" i="30"/>
  <c r="D13" i="27" s="1"/>
  <c r="X79" i="30"/>
  <c r="H13" i="27" s="1"/>
  <c r="H29" i="27" s="1"/>
  <c r="AB63" i="30"/>
  <c r="V63" i="30"/>
  <c r="F14" i="7" s="1"/>
  <c r="F30" i="7" s="1"/>
  <c r="AB65" i="30"/>
  <c r="AA63" i="30"/>
  <c r="K14" i="7" s="1"/>
  <c r="W63" i="30"/>
  <c r="G14" i="7" s="1"/>
  <c r="S77" i="30"/>
  <c r="C11" i="27" s="1"/>
  <c r="C27" i="27" s="1"/>
  <c r="Z77" i="30"/>
  <c r="J11" i="27" s="1"/>
  <c r="J27" i="27" s="1"/>
  <c r="AA85" i="30"/>
  <c r="K19" i="27" s="1"/>
  <c r="X97" i="30"/>
  <c r="H14" i="1" s="1"/>
  <c r="H30" i="1" s="1"/>
  <c r="X63" i="30"/>
  <c r="H14" i="7" s="1"/>
  <c r="H30" i="7" s="1"/>
  <c r="AB80" i="30"/>
  <c r="L14" i="27" s="1"/>
  <c r="Z63" i="30"/>
  <c r="J14" i="7" s="1"/>
  <c r="T62" i="30"/>
  <c r="D13" i="7" s="1"/>
  <c r="D29" i="7" s="1"/>
  <c r="X62" i="30"/>
  <c r="H13" i="7" s="1"/>
  <c r="H29" i="7" s="1"/>
  <c r="AB79" i="30"/>
  <c r="L13" i="27" s="1"/>
  <c r="V79" i="30"/>
  <c r="F13" i="27" s="1"/>
  <c r="Z79" i="30"/>
  <c r="J13" i="27" s="1"/>
  <c r="J29" i="27" s="1"/>
  <c r="T63" i="30"/>
  <c r="D14" i="7" s="1"/>
  <c r="D30" i="7" s="1"/>
  <c r="U99" i="30"/>
  <c r="E16" i="1" s="1"/>
  <c r="E32" i="1" s="1"/>
  <c r="U82" i="30"/>
  <c r="E16" i="27" s="1"/>
  <c r="E32" i="27" s="1"/>
  <c r="U85" i="30"/>
  <c r="E19" i="27" s="1"/>
  <c r="E35" i="27" s="1"/>
  <c r="Y85" i="30"/>
  <c r="I19" i="27" s="1"/>
  <c r="I35" i="27" s="1"/>
  <c r="W68" i="30"/>
  <c r="G19" i="7" s="1"/>
  <c r="S68" i="30"/>
  <c r="C19" i="7" s="1"/>
  <c r="C35" i="7" s="1"/>
  <c r="Y82" i="30"/>
  <c r="I16" i="27" s="1"/>
  <c r="I32" i="27" s="1"/>
  <c r="U65" i="30"/>
  <c r="E16" i="7" s="1"/>
  <c r="E32" i="7" s="1"/>
  <c r="E12" i="22" s="1"/>
  <c r="Y65" i="30"/>
  <c r="I16" i="7" s="1"/>
  <c r="AA99" i="30"/>
  <c r="K16" i="1" s="1"/>
  <c r="AA65" i="30"/>
  <c r="K16" i="7" s="1"/>
  <c r="W85" i="30"/>
  <c r="G19" i="27" s="1"/>
  <c r="G35" i="27" s="1"/>
  <c r="S85" i="30"/>
  <c r="C19" i="27" s="1"/>
  <c r="C35" i="27" s="1"/>
  <c r="U68" i="30"/>
  <c r="E19" i="7" s="1"/>
  <c r="E35" i="7" s="1"/>
  <c r="Y68" i="30"/>
  <c r="I19" i="7" s="1"/>
  <c r="W82" i="30"/>
  <c r="G16" i="27" s="1"/>
  <c r="G32" i="27" s="1"/>
  <c r="S82" i="30"/>
  <c r="C16" i="27" s="1"/>
  <c r="C32" i="27" s="1"/>
  <c r="W65" i="30"/>
  <c r="G16" i="7" s="1"/>
  <c r="S65" i="30"/>
  <c r="C16" i="7" s="1"/>
  <c r="C32" i="7" s="1"/>
  <c r="C12" i="22" s="1"/>
  <c r="X94" i="30"/>
  <c r="H11" i="1" s="1"/>
  <c r="H27" i="1" s="1"/>
  <c r="V85" i="30"/>
  <c r="F19" i="27" s="1"/>
  <c r="Z85" i="30"/>
  <c r="J19" i="27" s="1"/>
  <c r="J35" i="27" s="1"/>
  <c r="S60" i="30"/>
  <c r="C11" i="7" s="1"/>
  <c r="C27" i="7" s="1"/>
  <c r="W77" i="30"/>
  <c r="G11" i="27" s="1"/>
  <c r="G27" i="27" s="1"/>
  <c r="AA68" i="30"/>
  <c r="K19" i="7" s="1"/>
  <c r="X65" i="30"/>
  <c r="H16" i="7" s="1"/>
  <c r="H32" i="7" s="1"/>
  <c r="U94" i="30"/>
  <c r="E11" i="1" s="1"/>
  <c r="E27" i="1" s="1"/>
  <c r="U77" i="30"/>
  <c r="E11" i="27" s="1"/>
  <c r="E27" i="27" s="1"/>
  <c r="T82" i="30"/>
  <c r="D16" i="27" s="1"/>
  <c r="Z68" i="30"/>
  <c r="J19" i="7" s="1"/>
  <c r="U63" i="30"/>
  <c r="E14" i="7" s="1"/>
  <c r="E30" i="7" s="1"/>
  <c r="Y77" i="30"/>
  <c r="I11" i="27" s="1"/>
  <c r="I27" i="27" s="1"/>
  <c r="U60" i="30"/>
  <c r="E11" i="7" s="1"/>
  <c r="E27" i="7" s="1"/>
  <c r="T68" i="30"/>
  <c r="D19" i="7" s="1"/>
  <c r="D35" i="7" s="1"/>
  <c r="V65" i="30"/>
  <c r="F16" i="7" s="1"/>
  <c r="F32" i="7" s="1"/>
  <c r="S63" i="30"/>
  <c r="C14" i="7" s="1"/>
  <c r="C30" i="7" s="1"/>
  <c r="AA96" i="30"/>
  <c r="K13" i="1" s="1"/>
  <c r="AA79" i="30"/>
  <c r="K13" i="27" s="1"/>
  <c r="W96" i="30"/>
  <c r="G13" i="1" s="1"/>
  <c r="G29" i="1" s="1"/>
  <c r="W79" i="30"/>
  <c r="G13" i="27" s="1"/>
  <c r="G29" i="27" s="1"/>
  <c r="S96" i="30"/>
  <c r="C13" i="1" s="1"/>
  <c r="C29" i="1" s="1"/>
  <c r="S79" i="30"/>
  <c r="C13" i="27" s="1"/>
  <c r="C29" i="27" s="1"/>
  <c r="C9" i="22" s="1"/>
  <c r="C9" i="28" s="1"/>
  <c r="X85" i="30"/>
  <c r="H19" i="27" s="1"/>
  <c r="H35" i="27" s="1"/>
  <c r="V82" i="30"/>
  <c r="F16" i="27" s="1"/>
  <c r="AA80" i="30"/>
  <c r="K14" i="27" s="1"/>
  <c r="S80" i="30"/>
  <c r="C14" i="27" s="1"/>
  <c r="C30" i="27" s="1"/>
  <c r="V68" i="30"/>
  <c r="F19" i="7" s="1"/>
  <c r="F35" i="7" s="1"/>
  <c r="T65" i="30"/>
  <c r="D16" i="7" s="1"/>
  <c r="D32" i="7" s="1"/>
  <c r="AB64" i="30"/>
  <c r="L15" i="7" s="1"/>
  <c r="Y63" i="30"/>
  <c r="I14" i="7" s="1"/>
  <c r="W62" i="30"/>
  <c r="G13" i="7" s="1"/>
  <c r="U96" i="30"/>
  <c r="E13" i="1" s="1"/>
  <c r="E29" i="1" s="1"/>
  <c r="U79" i="30"/>
  <c r="E13" i="27" s="1"/>
  <c r="E29" i="27" s="1"/>
  <c r="E9" i="22" s="1"/>
  <c r="Y96" i="30"/>
  <c r="I13" i="1" s="1"/>
  <c r="Y79" i="30"/>
  <c r="I13" i="27" s="1"/>
  <c r="I29" i="27" s="1"/>
  <c r="V94" i="30"/>
  <c r="F11" i="1" s="1"/>
  <c r="V60" i="30"/>
  <c r="F11" i="7" s="1"/>
  <c r="F27" i="7" s="1"/>
  <c r="T85" i="30"/>
  <c r="D19" i="27" s="1"/>
  <c r="AB82" i="30"/>
  <c r="L16" i="27" s="1"/>
  <c r="Z82" i="30"/>
  <c r="J16" i="27" s="1"/>
  <c r="W80" i="30"/>
  <c r="G14" i="27" s="1"/>
  <c r="G30" i="27" s="1"/>
  <c r="V77" i="30"/>
  <c r="F11" i="27" s="1"/>
  <c r="AB4" i="8"/>
  <c r="C12" i="28" l="1"/>
  <c r="AB9" i="8"/>
  <c r="C17" i="28"/>
  <c r="C26" i="35" s="1"/>
  <c r="AB6" i="8"/>
  <c r="C7" i="35"/>
  <c r="AB8" i="8"/>
  <c r="I34" i="4"/>
  <c r="I36" i="4"/>
  <c r="L18" i="28"/>
  <c r="H7" i="22"/>
  <c r="AF13" i="8"/>
  <c r="AF5" i="8"/>
  <c r="C44" i="35"/>
  <c r="C84" i="35"/>
  <c r="C64" i="35"/>
  <c r="E44" i="35"/>
  <c r="E84" i="35"/>
  <c r="E64" i="35"/>
  <c r="I16" i="22"/>
  <c r="N36" i="27"/>
  <c r="AB10" i="8"/>
  <c r="L16" i="7"/>
  <c r="L32" i="7" s="1"/>
  <c r="L13" i="7"/>
  <c r="L29" i="7" s="1"/>
  <c r="N30" i="1"/>
  <c r="I8" i="22"/>
  <c r="N28" i="27"/>
  <c r="L14" i="7"/>
  <c r="L30" i="7" s="1"/>
  <c r="L14" i="28"/>
  <c r="D14" i="22"/>
  <c r="D14" i="28" s="1"/>
  <c r="I33" i="1"/>
  <c r="I38" i="27"/>
  <c r="AF15" i="8" s="1"/>
  <c r="D16" i="22"/>
  <c r="F27" i="27"/>
  <c r="J32" i="27"/>
  <c r="I29" i="1"/>
  <c r="I30" i="7"/>
  <c r="I10" i="22" s="1"/>
  <c r="F32" i="27"/>
  <c r="F12" i="22" s="1"/>
  <c r="K36" i="7"/>
  <c r="K16" i="22" s="1"/>
  <c r="K16" i="28" s="1"/>
  <c r="G36" i="27"/>
  <c r="I36" i="1"/>
  <c r="I34" i="1"/>
  <c r="C38" i="1"/>
  <c r="D27" i="4"/>
  <c r="I34" i="27"/>
  <c r="AF11" i="8" s="1"/>
  <c r="I33" i="27"/>
  <c r="AF10" i="8" s="1"/>
  <c r="H17" i="22"/>
  <c r="H17" i="28" s="1"/>
  <c r="H26" i="35" s="1"/>
  <c r="I8" i="28"/>
  <c r="L13" i="22"/>
  <c r="L13" i="28" s="1"/>
  <c r="D18" i="28"/>
  <c r="D13" i="28"/>
  <c r="E12" i="28"/>
  <c r="K34" i="4"/>
  <c r="I35" i="7"/>
  <c r="I32" i="7"/>
  <c r="F29" i="27"/>
  <c r="F9" i="22" s="1"/>
  <c r="H10" i="22"/>
  <c r="H10" i="28" s="1"/>
  <c r="J30" i="27"/>
  <c r="G28" i="27"/>
  <c r="G8" i="22" s="1"/>
  <c r="C34" i="1"/>
  <c r="D26" i="1"/>
  <c r="D31" i="1"/>
  <c r="E9" i="28"/>
  <c r="K26" i="1"/>
  <c r="D16" i="28"/>
  <c r="D37" i="1"/>
  <c r="D29" i="1"/>
  <c r="D35" i="1"/>
  <c r="D27" i="1"/>
  <c r="D32" i="1"/>
  <c r="D30" i="1"/>
  <c r="C11" i="28"/>
  <c r="L32" i="27"/>
  <c r="K29" i="27"/>
  <c r="J35" i="7"/>
  <c r="J15" i="22" s="1"/>
  <c r="J15" i="28" s="1"/>
  <c r="J25" i="35" s="1"/>
  <c r="L29" i="27"/>
  <c r="L30" i="27"/>
  <c r="D29" i="27"/>
  <c r="D9" i="22" s="1"/>
  <c r="D9" i="28" s="1"/>
  <c r="J32" i="7"/>
  <c r="J12" i="22" s="1"/>
  <c r="J29" i="7"/>
  <c r="J9" i="22" s="1"/>
  <c r="J9" i="28" s="1"/>
  <c r="G38" i="27"/>
  <c r="G18" i="22" s="1"/>
  <c r="G34" i="27"/>
  <c r="G14" i="22" s="1"/>
  <c r="C36" i="1"/>
  <c r="C33" i="1"/>
  <c r="C6" i="28"/>
  <c r="C22" i="35" s="1"/>
  <c r="D37" i="27"/>
  <c r="D17" i="22" s="1"/>
  <c r="D35" i="27"/>
  <c r="D15" i="22" s="1"/>
  <c r="F27" i="1"/>
  <c r="K30" i="27"/>
  <c r="H15" i="22"/>
  <c r="H15" i="28" s="1"/>
  <c r="H25" i="35" s="1"/>
  <c r="D32" i="27"/>
  <c r="D12" i="22" s="1"/>
  <c r="D12" i="28" s="1"/>
  <c r="J30" i="7"/>
  <c r="J10" i="22" s="1"/>
  <c r="J10" i="28" s="1"/>
  <c r="K35" i="27"/>
  <c r="N35" i="27" s="1"/>
  <c r="D30" i="27"/>
  <c r="D10" i="22" s="1"/>
  <c r="L31" i="27"/>
  <c r="K33" i="4"/>
  <c r="K28" i="4"/>
  <c r="J37" i="7"/>
  <c r="E6" i="28"/>
  <c r="E22" i="35" s="1"/>
  <c r="L8" i="22"/>
  <c r="L8" i="28" s="1"/>
  <c r="D35" i="4"/>
  <c r="D26" i="4"/>
  <c r="D37" i="4"/>
  <c r="D31" i="4"/>
  <c r="D30" i="4"/>
  <c r="K28" i="7"/>
  <c r="K8" i="22" s="1"/>
  <c r="K33" i="7"/>
  <c r="K13" i="22" s="1"/>
  <c r="D6" i="22"/>
  <c r="E10" i="22"/>
  <c r="E10" i="28" s="1"/>
  <c r="E24" i="35" s="1"/>
  <c r="G32" i="7"/>
  <c r="G12" i="22" s="1"/>
  <c r="K32" i="1"/>
  <c r="G30" i="7"/>
  <c r="G10" i="22" s="1"/>
  <c r="K27" i="27"/>
  <c r="K38" i="4"/>
  <c r="I26" i="4"/>
  <c r="D3" i="8" s="1"/>
  <c r="I29" i="4"/>
  <c r="I35" i="4"/>
  <c r="I31" i="4"/>
  <c r="I37" i="4"/>
  <c r="I27" i="4"/>
  <c r="I30" i="4"/>
  <c r="I32" i="4"/>
  <c r="I35" i="1"/>
  <c r="I27" i="1"/>
  <c r="H28" i="7"/>
  <c r="H33" i="7"/>
  <c r="H13" i="22" s="1"/>
  <c r="H13" i="28" s="1"/>
  <c r="H34" i="7"/>
  <c r="H14" i="22" s="1"/>
  <c r="H14" i="28" s="1"/>
  <c r="H38" i="7"/>
  <c r="H18" i="22" s="1"/>
  <c r="H18" i="28" s="1"/>
  <c r="H36" i="7"/>
  <c r="H16" i="22" s="1"/>
  <c r="H16" i="28" s="1"/>
  <c r="J26" i="27"/>
  <c r="J6" i="22" s="1"/>
  <c r="J6" i="28" s="1"/>
  <c r="J22" i="35" s="1"/>
  <c r="J37" i="27"/>
  <c r="J31" i="27"/>
  <c r="J11" i="22" s="1"/>
  <c r="J11" i="28" s="1"/>
  <c r="J24" i="35" s="1"/>
  <c r="H8" i="22"/>
  <c r="H8" i="28" s="1"/>
  <c r="I37" i="1"/>
  <c r="I31" i="1"/>
  <c r="I26" i="1"/>
  <c r="N26" i="1" s="1"/>
  <c r="I37" i="7"/>
  <c r="I26" i="7"/>
  <c r="I27" i="7"/>
  <c r="I31" i="7"/>
  <c r="H28" i="1"/>
  <c r="H33" i="1"/>
  <c r="H36" i="1"/>
  <c r="H34" i="1"/>
  <c r="H38" i="1"/>
  <c r="I32" i="1"/>
  <c r="D31" i="27"/>
  <c r="D11" i="22" s="1"/>
  <c r="D27" i="27"/>
  <c r="D7" i="22" s="1"/>
  <c r="D7" i="28" s="1"/>
  <c r="I17" i="22"/>
  <c r="C7" i="22"/>
  <c r="C7" i="28" s="1"/>
  <c r="C23" i="35" s="1"/>
  <c r="E15" i="22"/>
  <c r="E15" i="28" s="1"/>
  <c r="E25" i="35" s="1"/>
  <c r="G35" i="1"/>
  <c r="K31" i="27"/>
  <c r="J7" i="22"/>
  <c r="J7" i="28" s="1"/>
  <c r="E33" i="1"/>
  <c r="E34" i="1"/>
  <c r="E28" i="1"/>
  <c r="E38" i="1"/>
  <c r="E36" i="1"/>
  <c r="G30" i="4"/>
  <c r="G26" i="4"/>
  <c r="G35" i="4"/>
  <c r="G37" i="4"/>
  <c r="G29" i="4"/>
  <c r="G32" i="4"/>
  <c r="G31" i="4"/>
  <c r="G27" i="4"/>
  <c r="G37" i="7"/>
  <c r="G17" i="22" s="1"/>
  <c r="G26" i="7"/>
  <c r="G6" i="22" s="1"/>
  <c r="G6" i="28" s="1"/>
  <c r="G22" i="35" s="1"/>
  <c r="F28" i="4"/>
  <c r="F38" i="4"/>
  <c r="F34" i="4"/>
  <c r="F36" i="4"/>
  <c r="F33" i="4"/>
  <c r="F26" i="1"/>
  <c r="F37" i="1"/>
  <c r="F31" i="1"/>
  <c r="L31" i="4"/>
  <c r="L32" i="4"/>
  <c r="L35" i="4"/>
  <c r="L27" i="4"/>
  <c r="L30" i="4"/>
  <c r="L29" i="4"/>
  <c r="F29" i="1"/>
  <c r="G31" i="7"/>
  <c r="G11" i="22" s="1"/>
  <c r="C33" i="27"/>
  <c r="C38" i="27"/>
  <c r="C28" i="27"/>
  <c r="C36" i="27"/>
  <c r="C34" i="27"/>
  <c r="C34" i="7"/>
  <c r="C38" i="7"/>
  <c r="C36" i="7"/>
  <c r="C16" i="22" s="1"/>
  <c r="C33" i="7"/>
  <c r="C13" i="22" s="1"/>
  <c r="C28" i="7"/>
  <c r="K37" i="7"/>
  <c r="K26" i="7"/>
  <c r="J28" i="7"/>
  <c r="J8" i="22" s="1"/>
  <c r="J33" i="7"/>
  <c r="J34" i="7"/>
  <c r="N34" i="7" s="1"/>
  <c r="J38" i="7"/>
  <c r="J18" i="22" s="1"/>
  <c r="J36" i="7"/>
  <c r="L26" i="7"/>
  <c r="L37" i="7"/>
  <c r="F37" i="27"/>
  <c r="F17" i="22" s="1"/>
  <c r="F26" i="27"/>
  <c r="F6" i="22" s="1"/>
  <c r="G33" i="4"/>
  <c r="G34" i="4"/>
  <c r="G36" i="4"/>
  <c r="G38" i="4"/>
  <c r="G28" i="4"/>
  <c r="G8" i="28" s="1"/>
  <c r="K31" i="1"/>
  <c r="F30" i="1"/>
  <c r="F30" i="27"/>
  <c r="F10" i="22" s="1"/>
  <c r="G27" i="7"/>
  <c r="G7" i="22" s="1"/>
  <c r="G7" i="28" s="1"/>
  <c r="F32" i="1"/>
  <c r="G29" i="7"/>
  <c r="G9" i="22" s="1"/>
  <c r="L31" i="7"/>
  <c r="K29" i="1"/>
  <c r="H12" i="22"/>
  <c r="H12" i="28" s="1"/>
  <c r="K35" i="7"/>
  <c r="F35" i="27"/>
  <c r="F15" i="22" s="1"/>
  <c r="K32" i="7"/>
  <c r="K12" i="22" s="1"/>
  <c r="K12" i="28" s="1"/>
  <c r="G35" i="7"/>
  <c r="G15" i="22" s="1"/>
  <c r="K30" i="7"/>
  <c r="L37" i="4"/>
  <c r="K37" i="1"/>
  <c r="K27" i="7"/>
  <c r="L27" i="7"/>
  <c r="E33" i="4"/>
  <c r="E38" i="4"/>
  <c r="E36" i="4"/>
  <c r="E28" i="4"/>
  <c r="E34" i="4"/>
  <c r="E33" i="7"/>
  <c r="E13" i="22" s="1"/>
  <c r="E38" i="7"/>
  <c r="E18" i="22" s="1"/>
  <c r="E28" i="7"/>
  <c r="E8" i="22" s="1"/>
  <c r="E8" i="28" s="1"/>
  <c r="E36" i="7"/>
  <c r="E16" i="22" s="1"/>
  <c r="E16" i="28" s="1"/>
  <c r="E34" i="7"/>
  <c r="E14" i="22" s="1"/>
  <c r="G37" i="1"/>
  <c r="G31" i="1"/>
  <c r="G26" i="1"/>
  <c r="F28" i="27"/>
  <c r="F33" i="27"/>
  <c r="F36" i="27"/>
  <c r="F34" i="27"/>
  <c r="F38" i="27"/>
  <c r="F28" i="7"/>
  <c r="F33" i="7"/>
  <c r="F34" i="7"/>
  <c r="F14" i="22" s="1"/>
  <c r="F38" i="7"/>
  <c r="F18" i="22" s="1"/>
  <c r="F36" i="7"/>
  <c r="J28" i="4"/>
  <c r="J38" i="4"/>
  <c r="D15" i="8" s="1"/>
  <c r="J36" i="4"/>
  <c r="J33" i="4"/>
  <c r="D10" i="8" s="1"/>
  <c r="J34" i="4"/>
  <c r="K27" i="1"/>
  <c r="K31" i="7"/>
  <c r="K29" i="7"/>
  <c r="F35" i="1"/>
  <c r="C33" i="4"/>
  <c r="C36" i="4"/>
  <c r="C34" i="4"/>
  <c r="C38" i="4"/>
  <c r="C28" i="4"/>
  <c r="K26" i="27"/>
  <c r="K37" i="27"/>
  <c r="J28" i="1"/>
  <c r="N28" i="1" s="1"/>
  <c r="J34" i="1"/>
  <c r="J36" i="1"/>
  <c r="J33" i="1"/>
  <c r="J38" i="1"/>
  <c r="N38" i="1" s="1"/>
  <c r="L26" i="27"/>
  <c r="L37" i="27"/>
  <c r="F29" i="4"/>
  <c r="F30" i="4"/>
  <c r="F27" i="4"/>
  <c r="F31" i="4"/>
  <c r="F37" i="4"/>
  <c r="F26" i="4"/>
  <c r="F32" i="4"/>
  <c r="F35" i="4"/>
  <c r="G38" i="1"/>
  <c r="G34" i="1"/>
  <c r="G33" i="1"/>
  <c r="G36" i="1"/>
  <c r="G28" i="1"/>
  <c r="L27" i="27"/>
  <c r="G32" i="1"/>
  <c r="K35" i="1"/>
  <c r="L35" i="7"/>
  <c r="L15" i="22" s="1"/>
  <c r="G27" i="1"/>
  <c r="F31" i="27"/>
  <c r="F11" i="22" s="1"/>
  <c r="K14" i="22"/>
  <c r="G16" i="22"/>
  <c r="K18" i="22"/>
  <c r="G13" i="22"/>
  <c r="H7" i="28"/>
  <c r="H6" i="28"/>
  <c r="H22" i="35" s="1"/>
  <c r="E7" i="22"/>
  <c r="E7" i="28" s="1"/>
  <c r="H9" i="22"/>
  <c r="H9" i="28" s="1"/>
  <c r="F7" i="22"/>
  <c r="C15" i="22"/>
  <c r="C15" i="28" s="1"/>
  <c r="C25" i="35" s="1"/>
  <c r="H11" i="28"/>
  <c r="C10" i="22"/>
  <c r="C10" i="28" s="1"/>
  <c r="I9" i="22"/>
  <c r="I16" i="28" l="1"/>
  <c r="D11" i="8"/>
  <c r="X11" i="8" s="1"/>
  <c r="D13" i="8"/>
  <c r="V13" i="8" s="1"/>
  <c r="D5" i="8"/>
  <c r="X5" i="8" s="1"/>
  <c r="AF14" i="8"/>
  <c r="AF4" i="8"/>
  <c r="AF9" i="8"/>
  <c r="AF6" i="8"/>
  <c r="AF7" i="8"/>
  <c r="N33" i="7"/>
  <c r="K10" i="8"/>
  <c r="AG10" i="8"/>
  <c r="K4" i="8"/>
  <c r="AG4" i="8"/>
  <c r="K14" i="8"/>
  <c r="AG14" i="8"/>
  <c r="K9" i="8"/>
  <c r="AG9" i="8"/>
  <c r="K7" i="8"/>
  <c r="AG7" i="8"/>
  <c r="AG5" i="8"/>
  <c r="AG11" i="8"/>
  <c r="AG15" i="8"/>
  <c r="AF3" i="8"/>
  <c r="AG6" i="8"/>
  <c r="K13" i="8"/>
  <c r="AG13" i="8"/>
  <c r="I11" i="22"/>
  <c r="I11" i="28" s="1"/>
  <c r="K8" i="8"/>
  <c r="AG8" i="8"/>
  <c r="K3" i="8"/>
  <c r="AG3" i="8"/>
  <c r="K12" i="8"/>
  <c r="AG12" i="8"/>
  <c r="K5" i="8"/>
  <c r="K11" i="8"/>
  <c r="K15" i="8"/>
  <c r="AF8" i="8"/>
  <c r="K6" i="8"/>
  <c r="AF12" i="8"/>
  <c r="J43" i="35"/>
  <c r="J83" i="35"/>
  <c r="J63" i="35"/>
  <c r="G40" i="35"/>
  <c r="G80" i="35"/>
  <c r="G60" i="35"/>
  <c r="E43" i="35"/>
  <c r="E83" i="35"/>
  <c r="E63" i="35"/>
  <c r="E42" i="35"/>
  <c r="E82" i="35"/>
  <c r="E62" i="35"/>
  <c r="E40" i="35"/>
  <c r="E80" i="35"/>
  <c r="E60" i="35"/>
  <c r="C40" i="35"/>
  <c r="C80" i="35"/>
  <c r="C60" i="35"/>
  <c r="H44" i="35"/>
  <c r="H84" i="35"/>
  <c r="H64" i="35"/>
  <c r="L27" i="35"/>
  <c r="H24" i="35"/>
  <c r="C43" i="35"/>
  <c r="C83" i="35"/>
  <c r="C63" i="35"/>
  <c r="H40" i="35"/>
  <c r="H80" i="35"/>
  <c r="H60" i="35"/>
  <c r="K11" i="22"/>
  <c r="K11" i="28" s="1"/>
  <c r="N36" i="7"/>
  <c r="C41" i="35"/>
  <c r="C81" i="35"/>
  <c r="C61" i="35"/>
  <c r="J42" i="35"/>
  <c r="J82" i="35"/>
  <c r="J62" i="35"/>
  <c r="J40" i="35"/>
  <c r="J80" i="35"/>
  <c r="J60" i="35"/>
  <c r="H27" i="35"/>
  <c r="K8" i="28"/>
  <c r="H43" i="35"/>
  <c r="H83" i="35"/>
  <c r="H63" i="35"/>
  <c r="C24" i="35"/>
  <c r="E23" i="35"/>
  <c r="D27" i="35"/>
  <c r="H23" i="35"/>
  <c r="D23" i="35"/>
  <c r="N37" i="27"/>
  <c r="L12" i="22"/>
  <c r="L12" i="28" s="1"/>
  <c r="I17" i="28"/>
  <c r="I26" i="35" s="1"/>
  <c r="N37" i="7"/>
  <c r="N31" i="1"/>
  <c r="D7" i="8"/>
  <c r="X7" i="8" s="1"/>
  <c r="N30" i="4"/>
  <c r="D14" i="8"/>
  <c r="Y14" i="8" s="1"/>
  <c r="N37" i="4"/>
  <c r="D12" i="8"/>
  <c r="W12" i="8" s="1"/>
  <c r="N35" i="4"/>
  <c r="N26" i="4"/>
  <c r="N27" i="27"/>
  <c r="K13" i="28"/>
  <c r="D17" i="28"/>
  <c r="D26" i="35" s="1"/>
  <c r="N36" i="1"/>
  <c r="N32" i="27"/>
  <c r="N33" i="1"/>
  <c r="N38" i="7"/>
  <c r="N38" i="4"/>
  <c r="N28" i="4"/>
  <c r="N33" i="4"/>
  <c r="N36" i="4"/>
  <c r="N34" i="4"/>
  <c r="I6" i="22"/>
  <c r="N26" i="7"/>
  <c r="N37" i="1"/>
  <c r="D9" i="8"/>
  <c r="N32" i="4"/>
  <c r="D4" i="8"/>
  <c r="N27" i="4"/>
  <c r="D8" i="8"/>
  <c r="W8" i="8" s="1"/>
  <c r="N31" i="4"/>
  <c r="D6" i="8"/>
  <c r="N29" i="4"/>
  <c r="L9" i="22"/>
  <c r="N29" i="27"/>
  <c r="I18" i="22"/>
  <c r="N38" i="27"/>
  <c r="N28" i="7"/>
  <c r="C5" i="8"/>
  <c r="N26" i="27"/>
  <c r="N30" i="27"/>
  <c r="I7" i="22"/>
  <c r="I7" i="28" s="1"/>
  <c r="N27" i="7"/>
  <c r="N35" i="1"/>
  <c r="I15" i="22"/>
  <c r="I15" i="28" s="1"/>
  <c r="I25" i="35" s="1"/>
  <c r="N35" i="7"/>
  <c r="I14" i="22"/>
  <c r="N34" i="27"/>
  <c r="N30" i="7"/>
  <c r="N29" i="7"/>
  <c r="L10" i="22"/>
  <c r="L10" i="28" s="1"/>
  <c r="N32" i="1"/>
  <c r="N27" i="1"/>
  <c r="I12" i="22"/>
  <c r="N32" i="7"/>
  <c r="I13" i="22"/>
  <c r="N33" i="27"/>
  <c r="N34" i="1"/>
  <c r="N29" i="1"/>
  <c r="N31" i="27"/>
  <c r="G14" i="28"/>
  <c r="L11" i="22"/>
  <c r="L11" i="28" s="1"/>
  <c r="N31" i="7"/>
  <c r="G10" i="28"/>
  <c r="G9" i="28"/>
  <c r="D11" i="28"/>
  <c r="K18" i="28"/>
  <c r="J16" i="22"/>
  <c r="N16" i="22" s="1"/>
  <c r="F14" i="28"/>
  <c r="G13" i="28"/>
  <c r="G16" i="28"/>
  <c r="J18" i="28"/>
  <c r="K7" i="22"/>
  <c r="K7" i="28" s="1"/>
  <c r="F18" i="28"/>
  <c r="K15" i="22"/>
  <c r="K15" i="28" s="1"/>
  <c r="K25" i="35" s="1"/>
  <c r="I12" i="28"/>
  <c r="D6" i="28"/>
  <c r="D22" i="35" s="1"/>
  <c r="F7" i="28"/>
  <c r="V4" i="8"/>
  <c r="L15" i="28"/>
  <c r="L25" i="35" s="1"/>
  <c r="G15" i="28"/>
  <c r="G25" i="35" s="1"/>
  <c r="G12" i="28"/>
  <c r="J17" i="22"/>
  <c r="J17" i="28" s="1"/>
  <c r="J26" i="35" s="1"/>
  <c r="D15" i="28"/>
  <c r="D25" i="35" s="1"/>
  <c r="V10" i="8"/>
  <c r="D10" i="28"/>
  <c r="W9" i="8"/>
  <c r="F9" i="28"/>
  <c r="K10" i="22"/>
  <c r="K10" i="28" s="1"/>
  <c r="K24" i="35" s="1"/>
  <c r="F11" i="28"/>
  <c r="G11" i="28"/>
  <c r="F13" i="22"/>
  <c r="F13" i="28" s="1"/>
  <c r="E14" i="28"/>
  <c r="F12" i="28"/>
  <c r="G17" i="28"/>
  <c r="G26" i="35" s="1"/>
  <c r="E13" i="28"/>
  <c r="F6" i="28"/>
  <c r="F22" i="35" s="1"/>
  <c r="L17" i="22"/>
  <c r="L17" i="28" s="1"/>
  <c r="L26" i="35" s="1"/>
  <c r="C18" i="22"/>
  <c r="C18" i="28" s="1"/>
  <c r="C14" i="22"/>
  <c r="E18" i="28"/>
  <c r="F10" i="28"/>
  <c r="F15" i="28"/>
  <c r="F25" i="35" s="1"/>
  <c r="K9" i="22"/>
  <c r="K9" i="28" s="1"/>
  <c r="J14" i="22"/>
  <c r="J14" i="28" s="1"/>
  <c r="K17" i="22"/>
  <c r="C13" i="28"/>
  <c r="C14" i="28"/>
  <c r="G18" i="28"/>
  <c r="L9" i="28"/>
  <c r="F17" i="28"/>
  <c r="F26" i="35" s="1"/>
  <c r="F16" i="22"/>
  <c r="F16" i="28" s="1"/>
  <c r="F8" i="22"/>
  <c r="F8" i="28" s="1"/>
  <c r="L7" i="22"/>
  <c r="L6" i="22"/>
  <c r="L6" i="28" s="1"/>
  <c r="L22" i="35" s="1"/>
  <c r="J13" i="22"/>
  <c r="K6" i="22"/>
  <c r="C8" i="22"/>
  <c r="C8" i="28" s="1"/>
  <c r="C16" i="28"/>
  <c r="N18" i="22"/>
  <c r="J8" i="28"/>
  <c r="N8" i="28" s="1"/>
  <c r="N8" i="22"/>
  <c r="X4" i="8"/>
  <c r="Y4" i="8"/>
  <c r="W4" i="8"/>
  <c r="W5" i="8"/>
  <c r="V5" i="8"/>
  <c r="W13" i="8"/>
  <c r="X13" i="8"/>
  <c r="W11" i="8"/>
  <c r="Y11" i="8"/>
  <c r="Y15" i="8"/>
  <c r="W15" i="8"/>
  <c r="X15" i="8"/>
  <c r="V15" i="8"/>
  <c r="Y6" i="8"/>
  <c r="X6" i="8"/>
  <c r="W6" i="8"/>
  <c r="V6" i="8"/>
  <c r="W3" i="8"/>
  <c r="V3" i="8"/>
  <c r="Y3" i="8"/>
  <c r="X3" i="8"/>
  <c r="K14" i="28"/>
  <c r="J12" i="28"/>
  <c r="J23" i="35" s="1"/>
  <c r="I9" i="28"/>
  <c r="I10" i="28"/>
  <c r="V11" i="8" l="1"/>
  <c r="Y5" i="8"/>
  <c r="N12" i="22"/>
  <c r="V14" i="8"/>
  <c r="V12" i="8"/>
  <c r="W7" i="8"/>
  <c r="Y13" i="8"/>
  <c r="G24" i="35"/>
  <c r="G82" i="35" s="1"/>
  <c r="V8" i="8"/>
  <c r="N15" i="22"/>
  <c r="M25" i="35" s="1"/>
  <c r="M83" i="35" s="1"/>
  <c r="G27" i="35"/>
  <c r="C9" i="8"/>
  <c r="T9" i="8" s="1"/>
  <c r="J16" i="28"/>
  <c r="N16" i="28" s="1"/>
  <c r="M43" i="35"/>
  <c r="J41" i="35"/>
  <c r="J81" i="35"/>
  <c r="J61" i="35"/>
  <c r="F43" i="35"/>
  <c r="F83" i="35"/>
  <c r="F63" i="35"/>
  <c r="L44" i="35"/>
  <c r="L84" i="35"/>
  <c r="L64" i="35"/>
  <c r="D43" i="35"/>
  <c r="D83" i="35"/>
  <c r="D63" i="35"/>
  <c r="D40" i="35"/>
  <c r="D80" i="35"/>
  <c r="D60" i="35"/>
  <c r="K43" i="35"/>
  <c r="K83" i="35"/>
  <c r="K63" i="35"/>
  <c r="K23" i="35"/>
  <c r="I43" i="35"/>
  <c r="I83" i="35"/>
  <c r="I63" i="35"/>
  <c r="H41" i="35"/>
  <c r="H81" i="35"/>
  <c r="H61" i="35"/>
  <c r="E41" i="35"/>
  <c r="E81" i="35"/>
  <c r="E61" i="35"/>
  <c r="H45" i="35"/>
  <c r="H85" i="35"/>
  <c r="H65" i="35"/>
  <c r="L45" i="35"/>
  <c r="L85" i="35"/>
  <c r="L65" i="35"/>
  <c r="L40" i="35"/>
  <c r="L80" i="35"/>
  <c r="L60" i="35"/>
  <c r="F44" i="35"/>
  <c r="F84" i="35"/>
  <c r="F64" i="35"/>
  <c r="G45" i="35"/>
  <c r="G85" i="35"/>
  <c r="G65" i="35"/>
  <c r="F40" i="35"/>
  <c r="F80" i="35"/>
  <c r="F60" i="35"/>
  <c r="G44" i="35"/>
  <c r="G84" i="35"/>
  <c r="G64" i="35"/>
  <c r="G42" i="35"/>
  <c r="K42" i="35"/>
  <c r="K82" i="35"/>
  <c r="K62" i="35"/>
  <c r="J44" i="35"/>
  <c r="J84" i="35"/>
  <c r="J64" i="35"/>
  <c r="G43" i="35"/>
  <c r="G83" i="35"/>
  <c r="G63" i="35"/>
  <c r="L43" i="35"/>
  <c r="L83" i="35"/>
  <c r="L63" i="35"/>
  <c r="D44" i="35"/>
  <c r="D84" i="35"/>
  <c r="D64" i="35"/>
  <c r="I44" i="35"/>
  <c r="I84" i="35"/>
  <c r="I64" i="35"/>
  <c r="D41" i="35"/>
  <c r="D81" i="35"/>
  <c r="D61" i="35"/>
  <c r="D45" i="35"/>
  <c r="D85" i="35"/>
  <c r="D65" i="35"/>
  <c r="C42" i="35"/>
  <c r="C82" i="35"/>
  <c r="C62" i="35"/>
  <c r="H42" i="35"/>
  <c r="H82" i="35"/>
  <c r="H62" i="35"/>
  <c r="E27" i="35"/>
  <c r="F23" i="35"/>
  <c r="F24" i="35"/>
  <c r="G23" i="35"/>
  <c r="K27" i="35"/>
  <c r="D24" i="35"/>
  <c r="N11" i="28"/>
  <c r="L24" i="35"/>
  <c r="C27" i="35"/>
  <c r="I23" i="35"/>
  <c r="F27" i="35"/>
  <c r="I24" i="35"/>
  <c r="X12" i="8"/>
  <c r="X14" i="8"/>
  <c r="V7" i="8"/>
  <c r="Y12" i="8"/>
  <c r="W14" i="8"/>
  <c r="Y7" i="8"/>
  <c r="N11" i="22"/>
  <c r="I14" i="28"/>
  <c r="N14" i="28" s="1"/>
  <c r="C11" i="8"/>
  <c r="T11" i="8" s="1"/>
  <c r="C12" i="8"/>
  <c r="E12" i="8" s="1"/>
  <c r="C13" i="8"/>
  <c r="E13" i="8" s="1"/>
  <c r="Q13" i="8" s="1"/>
  <c r="I18" i="28"/>
  <c r="C15" i="8"/>
  <c r="T15" i="8" s="1"/>
  <c r="C8" i="8"/>
  <c r="U8" i="8" s="1"/>
  <c r="C14" i="8"/>
  <c r="C7" i="8"/>
  <c r="R7" i="8" s="1"/>
  <c r="I13" i="28"/>
  <c r="C10" i="8"/>
  <c r="C4" i="8"/>
  <c r="I6" i="28"/>
  <c r="I22" i="35" s="1"/>
  <c r="C3" i="8"/>
  <c r="C6" i="8"/>
  <c r="E6" i="8" s="1"/>
  <c r="T13" i="8"/>
  <c r="Y8" i="8"/>
  <c r="W10" i="8"/>
  <c r="V9" i="8"/>
  <c r="X8" i="8"/>
  <c r="X10" i="8"/>
  <c r="X9" i="8"/>
  <c r="Y10" i="8"/>
  <c r="Y9" i="8"/>
  <c r="N15" i="28"/>
  <c r="N10" i="22"/>
  <c r="N10" i="28"/>
  <c r="N9" i="28"/>
  <c r="N14" i="22"/>
  <c r="N13" i="22"/>
  <c r="J13" i="28"/>
  <c r="L7" i="28"/>
  <c r="N7" i="28" s="1"/>
  <c r="N9" i="22"/>
  <c r="N12" i="28"/>
  <c r="K6" i="28"/>
  <c r="N6" i="22"/>
  <c r="M22" i="35" s="1"/>
  <c r="N7" i="22"/>
  <c r="K17" i="28"/>
  <c r="N17" i="22"/>
  <c r="M26" i="35" s="1"/>
  <c r="R5" i="8"/>
  <c r="U5" i="8"/>
  <c r="T5" i="8"/>
  <c r="E5" i="8"/>
  <c r="S5" i="8"/>
  <c r="S9" i="8"/>
  <c r="R9" i="8"/>
  <c r="U9" i="8" l="1"/>
  <c r="E9" i="8"/>
  <c r="P9" i="8" s="1"/>
  <c r="N13" i="8"/>
  <c r="G62" i="35"/>
  <c r="N13" i="28"/>
  <c r="M63" i="35"/>
  <c r="U7" i="8"/>
  <c r="T12" i="8"/>
  <c r="R15" i="8"/>
  <c r="U6" i="8"/>
  <c r="T6" i="8"/>
  <c r="M13" i="8"/>
  <c r="P13" i="8"/>
  <c r="U13" i="8"/>
  <c r="M23" i="35"/>
  <c r="M81" i="35" s="1"/>
  <c r="M44" i="35"/>
  <c r="M84" i="35"/>
  <c r="M64" i="35"/>
  <c r="M40" i="35"/>
  <c r="M80" i="35"/>
  <c r="M60" i="35"/>
  <c r="M27" i="35"/>
  <c r="F45" i="35"/>
  <c r="F85" i="35"/>
  <c r="F65" i="35"/>
  <c r="C45" i="35"/>
  <c r="C85" i="35"/>
  <c r="C65" i="35"/>
  <c r="K45" i="35"/>
  <c r="K85" i="35"/>
  <c r="K65" i="35"/>
  <c r="F42" i="35"/>
  <c r="F82" i="35"/>
  <c r="F62" i="35"/>
  <c r="E45" i="35"/>
  <c r="E85" i="35"/>
  <c r="E65" i="35"/>
  <c r="K41" i="35"/>
  <c r="K81" i="35"/>
  <c r="K61" i="35"/>
  <c r="I40" i="35"/>
  <c r="I80" i="35"/>
  <c r="I60" i="35"/>
  <c r="I42" i="35"/>
  <c r="I82" i="35"/>
  <c r="I62" i="35"/>
  <c r="I41" i="35"/>
  <c r="I81" i="35"/>
  <c r="I61" i="35"/>
  <c r="L42" i="35"/>
  <c r="L82" i="35"/>
  <c r="L62" i="35"/>
  <c r="D42" i="35"/>
  <c r="D82" i="35"/>
  <c r="D62" i="35"/>
  <c r="G41" i="35"/>
  <c r="G81" i="35"/>
  <c r="G61" i="35"/>
  <c r="F41" i="35"/>
  <c r="F81" i="35"/>
  <c r="F61" i="35"/>
  <c r="N17" i="28"/>
  <c r="K26" i="35"/>
  <c r="N6" i="28"/>
  <c r="K22" i="35"/>
  <c r="N18" i="28"/>
  <c r="I27" i="35"/>
  <c r="L23" i="35"/>
  <c r="M24" i="35"/>
  <c r="J27" i="35"/>
  <c r="O13" i="8"/>
  <c r="S13" i="8"/>
  <c r="U15" i="8"/>
  <c r="R13" i="8"/>
  <c r="S6" i="8"/>
  <c r="T7" i="8"/>
  <c r="E8" i="8"/>
  <c r="O8" i="8" s="1"/>
  <c r="S12" i="8"/>
  <c r="R6" i="8"/>
  <c r="E7" i="8"/>
  <c r="O7" i="8" s="1"/>
  <c r="S7" i="8"/>
  <c r="R12" i="8"/>
  <c r="U12" i="8"/>
  <c r="S8" i="8"/>
  <c r="E15" i="8"/>
  <c r="S15" i="8"/>
  <c r="N8" i="8"/>
  <c r="T8" i="8"/>
  <c r="R8" i="8"/>
  <c r="E11" i="8"/>
  <c r="Q11" i="8" s="1"/>
  <c r="R11" i="8"/>
  <c r="S11" i="8"/>
  <c r="S14" i="8"/>
  <c r="T14" i="8"/>
  <c r="U14" i="8"/>
  <c r="R14" i="8"/>
  <c r="E14" i="8"/>
  <c r="R3" i="8"/>
  <c r="T3" i="8"/>
  <c r="U3" i="8"/>
  <c r="E3" i="8"/>
  <c r="S3" i="8"/>
  <c r="R4" i="8"/>
  <c r="T4" i="8"/>
  <c r="E4" i="8"/>
  <c r="U4" i="8"/>
  <c r="S4" i="8"/>
  <c r="U11" i="8"/>
  <c r="R10" i="8"/>
  <c r="T10" i="8"/>
  <c r="S10" i="8"/>
  <c r="U10" i="8"/>
  <c r="E10" i="8"/>
  <c r="Q5" i="8"/>
  <c r="P5" i="8"/>
  <c r="N5" i="8"/>
  <c r="M5" i="8"/>
  <c r="O5" i="8"/>
  <c r="P12" i="8"/>
  <c r="N12" i="8"/>
  <c r="M12" i="8"/>
  <c r="O12" i="8"/>
  <c r="Q12" i="8"/>
  <c r="Q9" i="8"/>
  <c r="O9" i="8"/>
  <c r="M9" i="8"/>
  <c r="O6" i="8"/>
  <c r="M6" i="8"/>
  <c r="N6" i="8"/>
  <c r="P6" i="8"/>
  <c r="Q6" i="8"/>
  <c r="P7" i="8"/>
  <c r="N9" i="8" l="1"/>
  <c r="N7" i="8"/>
  <c r="M41" i="35"/>
  <c r="M61" i="35"/>
  <c r="M7" i="8"/>
  <c r="Q8" i="8"/>
  <c r="J45" i="35"/>
  <c r="J85" i="35"/>
  <c r="J65" i="35"/>
  <c r="L41" i="35"/>
  <c r="L81" i="35"/>
  <c r="L61" i="35"/>
  <c r="M42" i="35"/>
  <c r="M82" i="35"/>
  <c r="M62" i="35"/>
  <c r="I45" i="35"/>
  <c r="I85" i="35"/>
  <c r="I65" i="35"/>
  <c r="K40" i="35"/>
  <c r="K80" i="35"/>
  <c r="K60" i="35"/>
  <c r="K44" i="35"/>
  <c r="K84" i="35"/>
  <c r="K64" i="35"/>
  <c r="M45" i="35"/>
  <c r="M85" i="35"/>
  <c r="M65" i="35"/>
  <c r="P8" i="8"/>
  <c r="M8" i="8"/>
  <c r="Q7" i="8"/>
  <c r="P15" i="8"/>
  <c r="M15" i="8"/>
  <c r="Q15" i="8"/>
  <c r="O15" i="8"/>
  <c r="N15" i="8"/>
  <c r="O11" i="8"/>
  <c r="M11" i="8"/>
  <c r="N11" i="8"/>
  <c r="P11" i="8"/>
  <c r="O10" i="8"/>
  <c r="P10" i="8"/>
  <c r="Q10" i="8"/>
  <c r="N10" i="8"/>
  <c r="M10" i="8"/>
  <c r="N4" i="8"/>
  <c r="P4" i="8"/>
  <c r="Q4" i="8"/>
  <c r="M4" i="8"/>
  <c r="O4" i="8"/>
  <c r="M3" i="8"/>
  <c r="N3" i="8"/>
  <c r="Q3" i="8"/>
  <c r="O3" i="8"/>
  <c r="P3" i="8"/>
  <c r="N14" i="8"/>
  <c r="M14" i="8"/>
  <c r="P14" i="8"/>
  <c r="Q14" i="8"/>
  <c r="O14" i="8"/>
</calcChain>
</file>

<file path=xl/comments1.xml><?xml version="1.0" encoding="utf-8"?>
<comments xmlns="http://schemas.openxmlformats.org/spreadsheetml/2006/main">
  <authors>
    <author>Author</author>
  </authors>
  <commentList>
    <comment ref="A8" authorId="0">
      <text>
        <r>
          <rPr>
            <b/>
            <sz val="9"/>
            <color indexed="81"/>
            <rFont val="Tahoma"/>
            <family val="2"/>
          </rPr>
          <t>Author: Su</t>
        </r>
        <r>
          <rPr>
            <sz val="9"/>
            <color indexed="81"/>
            <rFont val="Tahoma"/>
            <family val="2"/>
          </rPr>
          <t xml:space="preserve">
Cells highlighted in blue are those showing different RAB values from the 'DNSP data' used by EI.  Nevertheless, the differences seem to be small.</t>
        </r>
      </text>
    </comment>
  </commentList>
</comments>
</file>

<file path=xl/comments2.xml><?xml version="1.0" encoding="utf-8"?>
<comments xmlns="http://schemas.openxmlformats.org/spreadsheetml/2006/main">
  <authors>
    <author>Author</author>
  </authors>
  <commentList>
    <comment ref="K12" authorId="0">
      <text>
        <r>
          <rPr>
            <b/>
            <sz val="9"/>
            <color indexed="81"/>
            <rFont val="Tahoma"/>
            <family val="2"/>
          </rPr>
          <t>Author:</t>
        </r>
        <r>
          <rPr>
            <sz val="9"/>
            <color indexed="81"/>
            <rFont val="Tahoma"/>
            <family val="2"/>
          </rPr>
          <t xml:space="preserve">
We corrected to include connection services. Citipower had excluded connection services.
</t>
        </r>
      </text>
    </comment>
    <comment ref="M12" authorId="0">
      <text>
        <r>
          <rPr>
            <b/>
            <sz val="9"/>
            <color indexed="81"/>
            <rFont val="Tahoma"/>
            <charset val="1"/>
          </rPr>
          <t>Author:</t>
        </r>
        <r>
          <rPr>
            <sz val="9"/>
            <color indexed="81"/>
            <rFont val="Tahoma"/>
            <charset val="1"/>
          </rPr>
          <t xml:space="preserve">
Using old CAM. 
RIN uses new CAM data.</t>
        </r>
      </text>
    </comment>
    <comment ref="K18" authorId="0">
      <text>
        <r>
          <rPr>
            <b/>
            <sz val="9"/>
            <color indexed="81"/>
            <rFont val="Tahoma"/>
            <family val="2"/>
          </rPr>
          <t>Author:</t>
        </r>
        <r>
          <rPr>
            <sz val="9"/>
            <color indexed="81"/>
            <rFont val="Tahoma"/>
            <family val="2"/>
          </rPr>
          <t xml:space="preserve">
We corrected to include connection services. Powercor had excluded connection services.
</t>
        </r>
      </text>
    </comment>
  </commentList>
</comments>
</file>

<file path=xl/comments3.xml><?xml version="1.0" encoding="utf-8"?>
<comments xmlns="http://schemas.openxmlformats.org/spreadsheetml/2006/main">
  <authors>
    <author>Author</author>
  </authors>
  <commentList>
    <comment ref="C15" authorId="0">
      <text>
        <r>
          <rPr>
            <b/>
            <sz val="9"/>
            <color indexed="81"/>
            <rFont val="Tahoma"/>
            <charset val="1"/>
          </rPr>
          <t>Author:</t>
        </r>
        <r>
          <rPr>
            <sz val="9"/>
            <color indexed="81"/>
            <rFont val="Tahoma"/>
            <charset val="1"/>
          </rPr>
          <t xml:space="preserve">
Calculated based on UE's revised route line length numbers for 2014, 2015 &amp; 2016</t>
        </r>
      </text>
    </comment>
    <comment ref="A62" authorId="0">
      <text>
        <r>
          <rPr>
            <b/>
            <sz val="9"/>
            <color indexed="81"/>
            <rFont val="Tahoma"/>
            <family val="2"/>
          </rPr>
          <t>Author:</t>
        </r>
        <r>
          <rPr>
            <sz val="9"/>
            <color indexed="81"/>
            <rFont val="Tahoma"/>
            <family val="2"/>
          </rPr>
          <t xml:space="preserve">
Transformer capacity and cold spare capacity</t>
        </r>
      </text>
    </comment>
    <comment ref="H69" authorId="0">
      <text>
        <r>
          <rPr>
            <b/>
            <sz val="9"/>
            <color indexed="81"/>
            <rFont val="Tahoma"/>
            <family val="2"/>
          </rPr>
          <t>Author:</t>
        </r>
        <r>
          <rPr>
            <sz val="9"/>
            <color indexed="81"/>
            <rFont val="Tahoma"/>
            <family val="2"/>
          </rPr>
          <t xml:space="preserve">
Essential has applied a new estimation technique to calculate this variable for 2014/15. Essential will provide updated historical data for this variable in line with their new estimation approach. Until they do we will apply the 2014-15 capacity for the previous years where it was higher</t>
        </r>
      </text>
    </comment>
  </commentList>
</comments>
</file>

<file path=xl/sharedStrings.xml><?xml version="1.0" encoding="utf-8"?>
<sst xmlns="http://schemas.openxmlformats.org/spreadsheetml/2006/main" count="1146" uniqueCount="230">
  <si>
    <t>CPI (Dec)</t>
  </si>
  <si>
    <t>ActewAGL</t>
  </si>
  <si>
    <t>CitiPower</t>
  </si>
  <si>
    <t>Endeavour Energy</t>
  </si>
  <si>
    <t>Energex</t>
  </si>
  <si>
    <t>Essential Energy</t>
  </si>
  <si>
    <t>Jemena</t>
  </si>
  <si>
    <t>Powercor</t>
  </si>
  <si>
    <t>SA Power Networks</t>
  </si>
  <si>
    <t>United Energy</t>
  </si>
  <si>
    <t>Ergon Energy</t>
  </si>
  <si>
    <t>Unit</t>
  </si>
  <si>
    <t>Series Type</t>
  </si>
  <si>
    <t>Data Type</t>
  </si>
  <si>
    <t>Frequency</t>
  </si>
  <si>
    <t>Collection Month</t>
  </si>
  <si>
    <t>Series Start</t>
  </si>
  <si>
    <t>Series End</t>
  </si>
  <si>
    <t>No. Obs</t>
  </si>
  <si>
    <t>Series ID</t>
  </si>
  <si>
    <t>Index Numbers ;  All groups CPI ;  Australia ;</t>
  </si>
  <si>
    <t>Index Numbers</t>
  </si>
  <si>
    <t>Original</t>
  </si>
  <si>
    <t>INDEX</t>
  </si>
  <si>
    <t>Quarter</t>
  </si>
  <si>
    <t>A2325846C</t>
  </si>
  <si>
    <t>Financial year data (Real December previous year)</t>
  </si>
  <si>
    <t>Calander year data (Real June same year)</t>
  </si>
  <si>
    <t>Convert to real (Financial year DNSP)</t>
  </si>
  <si>
    <t>Convert to real (Calendar year DNSP)</t>
  </si>
  <si>
    <t>$ '000</t>
  </si>
  <si>
    <t>Route line length</t>
  </si>
  <si>
    <t>Customer numbers</t>
  </si>
  <si>
    <t>km</t>
  </si>
  <si>
    <t>Number</t>
  </si>
  <si>
    <t>Energy delivered</t>
  </si>
  <si>
    <t>SAIDI exclusive of MEDs excluding excluded outages</t>
  </si>
  <si>
    <t>SAIFI exclusive of MEDs excluding excluded outages</t>
  </si>
  <si>
    <t>Opex (5yr avg)</t>
  </si>
  <si>
    <t>MW</t>
  </si>
  <si>
    <t>MWh</t>
  </si>
  <si>
    <t>Energy delivered (5yr avg)</t>
  </si>
  <si>
    <t>RAB (5yr avg)</t>
  </si>
  <si>
    <t>Maximum demand</t>
  </si>
  <si>
    <t>Opex per customer (5yr avg)</t>
  </si>
  <si>
    <t>kW/Cust</t>
  </si>
  <si>
    <t>Load Factor</t>
  </si>
  <si>
    <t>SAIDI (5yr avg)</t>
  </si>
  <si>
    <t>SAIFI (5yr avg)</t>
  </si>
  <si>
    <t>CAIDI (5yr avg)</t>
  </si>
  <si>
    <t>CAIDI exclusive of MEDs excluding excluded outages</t>
  </si>
  <si>
    <t>DNSP Network services opex</t>
  </si>
  <si>
    <t>Total user cost (5yr avg)</t>
  </si>
  <si>
    <t>Customer density</t>
  </si>
  <si>
    <t>TasNetworks</t>
  </si>
  <si>
    <t>Average real WACC</t>
  </si>
  <si>
    <t>SAIDI</t>
  </si>
  <si>
    <t>SAIFI</t>
  </si>
  <si>
    <t>ACT</t>
  </si>
  <si>
    <t>AGD</t>
  </si>
  <si>
    <t>CIT</t>
  </si>
  <si>
    <t>END</t>
  </si>
  <si>
    <t>ENX</t>
  </si>
  <si>
    <t>ERG</t>
  </si>
  <si>
    <t>ESS</t>
  </si>
  <si>
    <t>JEN</t>
  </si>
  <si>
    <t>PCR</t>
  </si>
  <si>
    <t>UED</t>
  </si>
  <si>
    <t>TND</t>
  </si>
  <si>
    <t>SAPN</t>
  </si>
  <si>
    <t>Feed in tariffs</t>
  </si>
  <si>
    <t>Ergon</t>
  </si>
  <si>
    <t>Asset cost (5 yr avg)</t>
  </si>
  <si>
    <t>AusNet Services</t>
  </si>
  <si>
    <t>AND</t>
  </si>
  <si>
    <t>Overhead lines</t>
  </si>
  <si>
    <t>Underground lines</t>
  </si>
  <si>
    <t>Network capacity</t>
  </si>
  <si>
    <t>Ausgrid</t>
  </si>
  <si>
    <t>Circuit line length</t>
  </si>
  <si>
    <t>Route line length (5yr avg)</t>
  </si>
  <si>
    <t>Circuit line length (5yr avg)</t>
  </si>
  <si>
    <t>Reliability</t>
  </si>
  <si>
    <t>Total user cost</t>
  </si>
  <si>
    <t>#</t>
  </si>
  <si>
    <t>#/km</t>
  </si>
  <si>
    <t>$/Mwh</t>
  </si>
  <si>
    <t>$/km</t>
  </si>
  <si>
    <t>$/#</t>
  </si>
  <si>
    <t>$/MW</t>
  </si>
  <si>
    <t>$/MWh</t>
  </si>
  <si>
    <t>Asset cost per km of route line length (5yr avg)</t>
  </si>
  <si>
    <t>Asset cost per customer (5yr avg)</t>
  </si>
  <si>
    <t>kW/#</t>
  </si>
  <si>
    <t>MWh/#</t>
  </si>
  <si>
    <t>MWh/Cust</t>
  </si>
  <si>
    <t>min/#</t>
  </si>
  <si>
    <t>#/#</t>
  </si>
  <si>
    <t>minutes/#</t>
  </si>
  <si>
    <t>Nominal</t>
  </si>
  <si>
    <t>MVA</t>
  </si>
  <si>
    <t>minutes/customer</t>
  </si>
  <si>
    <t>Outages/customer</t>
  </si>
  <si>
    <t>miutes/outage</t>
  </si>
  <si>
    <t>Customer Density</t>
  </si>
  <si>
    <t>Total user cost per km of route line length (5yr avg)</t>
  </si>
  <si>
    <t>Total user cost per customer (5yr avg)</t>
  </si>
  <si>
    <t>CPI conversion</t>
  </si>
  <si>
    <t xml:space="preserve">     </t>
  </si>
  <si>
    <t>Total user cost per km of circuit line length (5yr avg)</t>
  </si>
  <si>
    <t>$'000</t>
  </si>
  <si>
    <t>Maximum demand (5yr avg)</t>
  </si>
  <si>
    <t>Customer numbers (5yr avg)</t>
  </si>
  <si>
    <t>Total user cost per MW of maximum demand (5yr avg)</t>
  </si>
  <si>
    <t>Totex per MWh of energy delivered (5yr avg)</t>
  </si>
  <si>
    <t>Asset cost per MW of maximum demand (5yr avg)</t>
  </si>
  <si>
    <t>Asset cost per MWh of energy delivered (5yr avg)</t>
  </si>
  <si>
    <t>Opex per MW of maximum demand (5yr avg)</t>
  </si>
  <si>
    <t>Opex per MWh of energy delivered (5yr avg)</t>
  </si>
  <si>
    <t>Opex per km of route line length (5yr avg)</t>
  </si>
  <si>
    <t>Depreciation (5yr avg)</t>
  </si>
  <si>
    <t>Return on investment (5yr avg)</t>
  </si>
  <si>
    <t>*These are used to convert to $2015</t>
  </si>
  <si>
    <t>Route line length matches DNSP data</t>
  </si>
  <si>
    <t>Customer number match DNSP data</t>
  </si>
  <si>
    <t>Energy delivered match DNSP data</t>
  </si>
  <si>
    <t>Maximum demand now matches DNSP data, after correcting 2014 refeence to MW from MVA</t>
  </si>
  <si>
    <t>Circuit length matches DNSP data.</t>
  </si>
  <si>
    <t>Overhead lines matches DNSP data</t>
  </si>
  <si>
    <t>Underground lines matches DNSP data</t>
  </si>
  <si>
    <t>Internally derived</t>
  </si>
  <si>
    <t>Network capacity now matches DNSP data</t>
  </si>
  <si>
    <t>Other than ActewAGL,</t>
  </si>
  <si>
    <t>Average(2011-2015)</t>
  </si>
  <si>
    <t xml:space="preserve">Note: For this series to be valid, the RAB, depreciation, and opex real values must be I the same terms. </t>
  </si>
  <si>
    <t>If valid D2, will = valid; If not, D2 will = invalid</t>
  </si>
  <si>
    <t xml:space="preserve">For this series to be valid the RAB and depreciation real values must be I the same terms. </t>
  </si>
  <si>
    <t xml:space="preserve">Nominal </t>
  </si>
  <si>
    <t>DOEF0301</t>
  </si>
  <si>
    <t>DOPCN01</t>
  </si>
  <si>
    <t>DOPED01</t>
  </si>
  <si>
    <t>DOPSD0107</t>
  </si>
  <si>
    <t>DPA0501</t>
  </si>
  <si>
    <t>DPA01</t>
  </si>
  <si>
    <t>DPA01+DPA02</t>
  </si>
  <si>
    <t>Zone substation transformation</t>
  </si>
  <si>
    <t>Total installed capacity for first step transformation where there are two steps to reach distribution voltage (DPA0601)</t>
  </si>
  <si>
    <t>Total zone substation transformer  capacity (DPA0604)</t>
  </si>
  <si>
    <t>%</t>
  </si>
  <si>
    <t>Share of first-stage transformation capacity in the zone substation transformer capacity</t>
  </si>
  <si>
    <t>Zone Substation Network Service RAB for DNSPs with two-stage transformation</t>
  </si>
  <si>
    <t>Zone substation network service straight-line depreciation for DNSPs with two-stage transformation</t>
  </si>
  <si>
    <t>Zone substation network service capex for DNSPs with two-stage transformation</t>
  </si>
  <si>
    <t>First-stage of the two-step transformation at the Zone Substation level Network Service RAB for DNSPs with two-stage transformation</t>
  </si>
  <si>
    <t>First-stage of the two-step transformation at the Zone Substation level network service straight-line depreciation for DNSPs with two-stage transformation</t>
  </si>
  <si>
    <t>First-stage of the two-step transformation at the Zone Substation level network service capex for DNSPs with two-stage transformation</t>
  </si>
  <si>
    <t>Removing assets associated with the first step of the two-step transformation</t>
  </si>
  <si>
    <t>DNSP Network services RAB after removing assets associated with the first step of the two-step transformation</t>
  </si>
  <si>
    <t>Straight-line depreciation after removing assets associated with the first step of the two-step transformation</t>
  </si>
  <si>
    <t>DNSP Network services capex after removing assets associated with the first step of the two-step transformation</t>
  </si>
  <si>
    <t>DNSP Asset cost after removing assets associated with the first step of the two-step transformation</t>
  </si>
  <si>
    <t>DNSP Total user cost after removing assets associated with the first step of the two-step transformation</t>
  </si>
  <si>
    <t>AER DNSP Partial Performance Indicator Analysis</t>
  </si>
  <si>
    <t>Date: November 2016</t>
  </si>
  <si>
    <t>Summary</t>
  </si>
  <si>
    <t xml:space="preserve">This spreadsheet contains the PPI analysis on Electricity Distribution Network Service Providers for the years up to 2015. </t>
  </si>
  <si>
    <t>Data worksheets</t>
  </si>
  <si>
    <t>Analysis worksheets</t>
  </si>
  <si>
    <t>– Data analysis</t>
  </si>
  <si>
    <t>– Graphical analysis: financial charts</t>
  </si>
  <si>
    <t>– Physical data: this presents key operational data submitted under DNSP EBRINs.</t>
  </si>
  <si>
    <t>– Reliability: this presents key reliability data submitted under DNSP EBRINs.</t>
  </si>
  <si>
    <t>– Opex: this presents network services opex data submitted under DNSP EBRINs.</t>
  </si>
  <si>
    <t>– Capex: this presents network services capex data (adjusted) submitted under DNSP EBRINs.</t>
  </si>
  <si>
    <t>– Depreciation: this presents network services depreciation data  (adjusted) submitted under DNSP EBRINs.</t>
  </si>
  <si>
    <t>– RAB: this presents network services RAB data  (adjusted)submitted under DNSP EBRINs.</t>
  </si>
  <si>
    <t>– Asset cost: this calculates asset cost using adjusted RAB.</t>
  </si>
  <si>
    <t xml:space="preserve">– Total cost: this calculates total cast as the sum of asset cost (above) and opex. </t>
  </si>
  <si>
    <t xml:space="preserve">– CPI: this contains consumer price index sourced from the Australian Bureau of Statistics.  This index is used to convert nominal values into real values. </t>
  </si>
  <si>
    <t xml:space="preserve">– Zone substation transformation: this contains network services zone substation data on capacity, capex, deprecation, and RAB for the purpose of removing assets associated with the first step of the two-step transformation.  For DNSPs with two-step transformation system at the zone substation level, assets values associated with the first step of the two-step transformation are measured by the proportional capacity. They are removed from the adjusted capex, depreciation and RAB measures. </t>
  </si>
  <si>
    <t>– Graphical analysis: non-financial charts</t>
  </si>
  <si>
    <t>Date</t>
  </si>
  <si>
    <t>Business</t>
  </si>
  <si>
    <t>Person</t>
  </si>
  <si>
    <t>Reason</t>
  </si>
  <si>
    <t>Actew AGL</t>
  </si>
  <si>
    <t>numerous</t>
  </si>
  <si>
    <t>Amended ActewAGL historical data to reflect new CAM, 2006-13 and 2013-14</t>
  </si>
  <si>
    <t>Endeavour</t>
  </si>
  <si>
    <t>Essential</t>
  </si>
  <si>
    <t>AusNet Dist</t>
  </si>
  <si>
    <t>Removed DRC 2015.</t>
  </si>
  <si>
    <t>Log of changes from draft report circulated</t>
  </si>
  <si>
    <t>Worksheet</t>
  </si>
  <si>
    <t>Opex</t>
  </si>
  <si>
    <t>Cells</t>
  </si>
  <si>
    <t>K3 &amp; L3</t>
  </si>
  <si>
    <t>Updated ActewAGL route line length data 2014 and 2015.</t>
  </si>
  <si>
    <t>L6</t>
  </si>
  <si>
    <t>Physical data</t>
  </si>
  <si>
    <t xml:space="preserve">Endeavour amended its RIN for changes to route line length. </t>
  </si>
  <si>
    <t>New worksheet on 'zonesubstationtransformation'</t>
  </si>
  <si>
    <t xml:space="preserve">Addressing AusGrid's submission on the need to remove assets associated with substransmssion layer of assets (like EI does).  We agree.  For consistency with Economic Insights's MTFP modelling, assets associated with the first step of the two-step transformationrelevant are removed.  As a result, meausres on RAB, Capex, and Depreciation, and the resulting calculation of asset costs and total costs, are redcued according to the share of first stage MVA capacity in overall zone substtion capacity. </t>
  </si>
  <si>
    <t xml:space="preserve">Endeavour amended its RIN for changes to RAB values and route line length. </t>
  </si>
  <si>
    <t>RAB/depreciation/capex</t>
  </si>
  <si>
    <t>2015 data</t>
  </si>
  <si>
    <t>Updated RAB-related values with Essential's amended RIN in 2015</t>
  </si>
  <si>
    <t>Average(2012-2016, $'m))</t>
  </si>
  <si>
    <t>Average (2012-2016)</t>
  </si>
  <si>
    <t>Average(2012-2016)</t>
  </si>
  <si>
    <t>Five year average customer numbers by DNSP (2012–16)</t>
  </si>
  <si>
    <t>Five year average route line length by DNSP (2012–16)</t>
  </si>
  <si>
    <t>Five year average circuit length by DNSP (2012–16)</t>
  </si>
  <si>
    <t>Average minutes off supply per customer (2012–2016)</t>
  </si>
  <si>
    <t>Average number of interruptions per customer (2012–2016)</t>
  </si>
  <si>
    <t>Total cost per MW of maximum demand ($2016) against customer density (2012–16 average)</t>
  </si>
  <si>
    <t>Total cost per customer ($2016) against customer density (2012–16 average)</t>
  </si>
  <si>
    <t>Total cost per km of route line length ($2016) against customer density (2012–16 average)</t>
  </si>
  <si>
    <t>Total cost per customer ($2016) against unplanned minutes off supply per customer (excluding MEDs, 2012–16 average)</t>
  </si>
  <si>
    <t>Total cost per km of circuit line length ($2016) against customer density (2012–16 average)</t>
  </si>
  <si>
    <t>NSW</t>
  </si>
  <si>
    <t>QLD</t>
  </si>
  <si>
    <t>SA</t>
  </si>
  <si>
    <t>TAS</t>
  </si>
  <si>
    <t>VIC</t>
  </si>
  <si>
    <t>Customers</t>
  </si>
  <si>
    <t>Total User Cost per customer</t>
  </si>
  <si>
    <t>MW Maximum demand</t>
  </si>
  <si>
    <t>Total User Cost per MW maximum demand</t>
  </si>
  <si>
    <t>Total User Cost per km circuit line length</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</si>
</sst>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mmm\-yyyy"/>
    <numFmt numFmtId="165" formatCode="0.0;\-0.0;0.0;@"/>
    <numFmt numFmtId="166" formatCode="0.0"/>
    <numFmt numFmtId="167" formatCode="#,##0.000"/>
    <numFmt numFmtId="168" formatCode="&quot;$&quot;#,##0"/>
    <numFmt numFmtId="169" formatCode="_-&quot;$&quot;* #,##0_-;\-&quot;$&quot;* #,##0_-;_-&quot;$&quot;* &quot;-&quot;??_-;_-@_-"/>
    <numFmt numFmtId="170" formatCode="_-* #,##0_-;\-* #,##0_-;_-* &quot;-&quot;??_-;_-@_-"/>
    <numFmt numFmtId="171" formatCode="_-* #,##0.0_-;\-* #,##0.0_-;_-* &quot;-&quot;??_-;_-@_-"/>
    <numFmt numFmtId="172" formatCode="#,##0.0"/>
    <numFmt numFmtId="173" formatCode="0.000"/>
    <numFmt numFmtId="174" formatCode="#,##0.0000"/>
    <numFmt numFmtId="175" formatCode="#,##0_ ;\-#,##0\ "/>
    <numFmt numFmtId="176" formatCode="#,##0.00_ ;\-#,##0.00\ "/>
    <numFmt numFmtId="177" formatCode="0.0000"/>
    <numFmt numFmtId="178" formatCode="0.0000%"/>
    <numFmt numFmtId="179" formatCode="_(* #,##0_);_(* \(#,##0\);_(* &quot;-&quot;_);_(@_)"/>
    <numFmt numFmtId="180" formatCode="_([$€-2]* #,##0.00_);_([$€-2]* \(#,##0.00\);_([$€-2]* &quot;-&quot;??_)"/>
    <numFmt numFmtId="181" formatCode="_-* #,##0.00_-;[Red]\(#,##0.00\)_-;_-* &quot;-&quot;??_-;_-@_-"/>
    <numFmt numFmtId="182" formatCode="_(* #,##0.00_);_(* \(#,##0.00\);_(* &quot;-&quot;??_);_(@_)"/>
    <numFmt numFmtId="183" formatCode="mm/dd/yy"/>
    <numFmt numFmtId="184" formatCode="0_);[Red]\(0\)"/>
    <numFmt numFmtId="185" formatCode="0.0%"/>
    <numFmt numFmtId="186" formatCode="_(* #,##0.0_);_(* \(#,##0.0\);_(* &quot;-&quot;?_);_(@_)"/>
    <numFmt numFmtId="187" formatCode="_(* #,##0_);_(* \(#,##0\);_(* &quot;-&quot;?_);_(@_)"/>
    <numFmt numFmtId="188" formatCode="#,##0.0_);\(#,##0.0\)"/>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s>
  <fonts count="71">
    <font>
      <sz val="11"/>
      <color theme="1"/>
      <name val="Calibri"/>
      <family val="2"/>
      <scheme val="minor"/>
    </font>
    <font>
      <sz val="10"/>
      <name val="Arial"/>
      <family val="2"/>
    </font>
    <font>
      <sz val="8"/>
      <name val="Arial"/>
      <family val="2"/>
    </font>
    <font>
      <b/>
      <sz val="8"/>
      <name val="Arial"/>
      <family val="2"/>
    </font>
    <font>
      <b/>
      <sz val="20"/>
      <color theme="1"/>
      <name val="Calibri"/>
      <family val="2"/>
      <scheme val="minor"/>
    </font>
    <font>
      <b/>
      <sz val="11"/>
      <color theme="1"/>
      <name val="Calibri"/>
      <family val="2"/>
      <scheme val="minor"/>
    </font>
    <font>
      <sz val="11"/>
      <color theme="1"/>
      <name val="Calibri"/>
      <family val="2"/>
      <scheme val="minor"/>
    </font>
    <font>
      <sz val="8"/>
      <name val="Arial"/>
      <family val="2"/>
    </font>
    <font>
      <sz val="9"/>
      <color indexed="81"/>
      <name val="Tahoma"/>
      <family val="2"/>
    </font>
    <font>
      <b/>
      <sz val="9"/>
      <color indexed="81"/>
      <name val="Tahoma"/>
      <family val="2"/>
    </font>
    <font>
      <b/>
      <sz val="14"/>
      <color theme="1"/>
      <name val="Calibri"/>
      <family val="2"/>
      <scheme val="minor"/>
    </font>
    <font>
      <b/>
      <sz val="16"/>
      <color theme="1"/>
      <name val="Calibri"/>
      <family val="2"/>
      <scheme val="minor"/>
    </font>
    <font>
      <sz val="8"/>
      <color theme="1"/>
      <name val="Calibri"/>
      <family val="2"/>
      <scheme val="minor"/>
    </font>
    <font>
      <sz val="11"/>
      <color rgb="FF9C0006"/>
      <name val="Calibri"/>
      <family val="2"/>
      <scheme val="minor"/>
    </font>
    <font>
      <sz val="11"/>
      <color rgb="FF006100"/>
      <name val="Calibri"/>
      <family val="2"/>
      <scheme val="minor"/>
    </font>
    <font>
      <i/>
      <sz val="11"/>
      <color theme="1"/>
      <name val="Calibri"/>
      <family val="2"/>
      <scheme val="minor"/>
    </font>
    <font>
      <b/>
      <i/>
      <sz val="11"/>
      <color theme="1"/>
      <name val="Calibri"/>
      <family val="2"/>
      <scheme val="minor"/>
    </font>
    <font>
      <b/>
      <sz val="11"/>
      <color theme="3"/>
      <name val="Calibri"/>
      <family val="2"/>
      <scheme val="minor"/>
    </font>
    <font>
      <sz val="8"/>
      <name val="Arial"/>
    </font>
    <font>
      <sz val="9"/>
      <color indexed="81"/>
      <name val="Tahoma"/>
      <charset val="1"/>
    </font>
    <font>
      <b/>
      <sz val="9"/>
      <color indexed="81"/>
      <name val="Tahoma"/>
      <charset val="1"/>
    </font>
    <font>
      <b/>
      <sz val="11"/>
      <color indexed="8"/>
      <name val="Calibri"/>
      <family val="2"/>
    </font>
    <font>
      <b/>
      <sz val="10"/>
      <name val="Arial"/>
      <family val="2"/>
    </font>
    <font>
      <b/>
      <sz val="14"/>
      <name val="Arial"/>
      <family val="2"/>
    </font>
    <font>
      <sz val="11"/>
      <color indexed="8"/>
      <name val="Calibri"/>
      <family val="2"/>
    </font>
    <font>
      <b/>
      <sz val="16"/>
      <color indexed="9"/>
      <name val="Arial"/>
      <family val="2"/>
    </font>
    <font>
      <sz val="10"/>
      <name val="Helv"/>
      <charset val="204"/>
    </font>
    <font>
      <sz val="14"/>
      <name val="System"/>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s>
  <fills count="5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C7CE"/>
      </patternFill>
    </fill>
    <fill>
      <patternFill patternType="solid">
        <fgColor rgb="FFC6EFCE"/>
      </patternFill>
    </fill>
    <fill>
      <patternFill patternType="solid">
        <fgColor theme="8" tint="0.79998168889431442"/>
        <bgColor indexed="64"/>
      </patternFill>
    </fill>
    <fill>
      <patternFill patternType="solid">
        <fgColor rgb="FFE7E1EF"/>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8"/>
        <bgColor indexed="64"/>
      </patternFill>
    </fill>
    <fill>
      <patternFill patternType="solid">
        <fgColor theme="0" tint="-0.49998474074526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mediumGray">
        <fgColor indexed="2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theme="4" tint="0.39997558519241921"/>
      </bottom>
      <diagonal/>
    </border>
    <border>
      <left/>
      <right/>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right/>
      <top style="thin">
        <color indexed="49"/>
      </top>
      <bottom style="double">
        <color indexed="49"/>
      </bottom>
      <diagonal/>
    </border>
  </borders>
  <cellStyleXfs count="269">
    <xf numFmtId="0" fontId="0" fillId="0" borderId="0"/>
    <xf numFmtId="0" fontId="1" fillId="0" borderId="0"/>
    <xf numFmtId="0" fontId="1" fillId="0" borderId="0"/>
    <xf numFmtId="44"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3" fillId="12" borderId="0" applyNumberFormat="0" applyBorder="0" applyAlignment="0" applyProtection="0"/>
    <xf numFmtId="0" fontId="14" fillId="13" borderId="0" applyNumberFormat="0" applyBorder="0" applyAlignment="0" applyProtection="0"/>
    <xf numFmtId="9" fontId="6" fillId="0" borderId="0" applyFont="0" applyFill="0" applyBorder="0" applyAlignment="0" applyProtection="0"/>
    <xf numFmtId="0" fontId="17" fillId="0" borderId="4" applyNumberFormat="0" applyFill="0" applyAlignment="0" applyProtection="0"/>
    <xf numFmtId="179" fontId="1" fillId="16" borderId="0" applyNumberFormat="0" applyFont="0" applyBorder="0" applyAlignment="0">
      <alignment horizontal="right"/>
    </xf>
    <xf numFmtId="179" fontId="1" fillId="17" borderId="0" applyFont="0" applyBorder="0" applyAlignment="0">
      <alignment horizontal="right"/>
      <protection locked="0"/>
    </xf>
    <xf numFmtId="0" fontId="1" fillId="0" borderId="0"/>
    <xf numFmtId="179" fontId="1" fillId="16" borderId="0" applyNumberFormat="0" applyFont="0" applyBorder="0" applyAlignment="0">
      <alignment horizontal="right"/>
    </xf>
    <xf numFmtId="0" fontId="1" fillId="0" borderId="0"/>
    <xf numFmtId="180" fontId="1" fillId="0" borderId="0"/>
    <xf numFmtId="0" fontId="1" fillId="0" borderId="0"/>
    <xf numFmtId="180" fontId="1" fillId="0" borderId="0"/>
    <xf numFmtId="0" fontId="26"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181" fontId="2" fillId="0" borderId="0"/>
    <xf numFmtId="181" fontId="2" fillId="0" borderId="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8" fillId="31" borderId="0" applyNumberFormat="0" applyBorder="0" applyAlignment="0" applyProtection="0"/>
    <xf numFmtId="0" fontId="28" fillId="36" borderId="0" applyNumberFormat="0" applyBorder="0" applyAlignment="0" applyProtection="0"/>
    <xf numFmtId="0" fontId="24" fillId="37" borderId="0" applyNumberFormat="0" applyBorder="0" applyAlignment="0" applyProtection="0"/>
    <xf numFmtId="0" fontId="2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4" fillId="30" borderId="0" applyNumberFormat="0" applyBorder="0" applyAlignment="0" applyProtection="0"/>
    <xf numFmtId="0" fontId="24"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9" fillId="0" borderId="0"/>
    <xf numFmtId="42" fontId="30" fillId="0" borderId="0" applyFont="0" applyFill="0" applyBorder="0" applyAlignment="0" applyProtection="0"/>
    <xf numFmtId="0" fontId="31" fillId="40" borderId="0" applyNumberFormat="0" applyBorder="0" applyAlignment="0" applyProtection="0"/>
    <xf numFmtId="0" fontId="32" fillId="0" borderId="0" applyNumberFormat="0" applyFill="0" applyBorder="0" applyAlignment="0"/>
    <xf numFmtId="0" fontId="33" fillId="0" borderId="0" applyNumberFormat="0" applyFill="0" applyBorder="0" applyAlignment="0">
      <protection locked="0"/>
    </xf>
    <xf numFmtId="0" fontId="34" fillId="24" borderId="7" applyNumberFormat="0" applyAlignment="0" applyProtection="0"/>
    <xf numFmtId="0" fontId="35" fillId="41" borderId="8" applyNumberFormat="0" applyAlignment="0" applyProtection="0"/>
    <xf numFmtId="41" fontId="1" fillId="0" borderId="0" applyFont="0" applyFill="0" applyBorder="0" applyAlignment="0" applyProtection="0"/>
    <xf numFmtId="0" fontId="36"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82" fontId="37"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3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180" fontId="24" fillId="0" borderId="0" applyFont="0" applyFill="0" applyBorder="0" applyAlignment="0" applyProtection="0"/>
    <xf numFmtId="0" fontId="39" fillId="0" borderId="0" applyNumberForma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0" fontId="40" fillId="0" borderId="0"/>
    <xf numFmtId="0" fontId="41" fillId="0" borderId="0"/>
    <xf numFmtId="0" fontId="42" fillId="45" borderId="0" applyNumberFormat="0" applyBorder="0" applyAlignment="0" applyProtection="0"/>
    <xf numFmtId="0" fontId="22" fillId="0" borderId="0" applyFill="0" applyBorder="0">
      <alignment vertical="center"/>
    </xf>
    <xf numFmtId="0" fontId="43" fillId="0" borderId="9" applyNumberFormat="0" applyFill="0" applyAlignment="0" applyProtection="0"/>
    <xf numFmtId="0" fontId="22" fillId="0" borderId="0" applyFill="0" applyBorder="0">
      <alignment vertical="center"/>
    </xf>
    <xf numFmtId="0" fontId="44" fillId="0" borderId="0" applyFill="0" applyBorder="0">
      <alignment vertical="center"/>
    </xf>
    <xf numFmtId="0" fontId="45" fillId="0" borderId="10" applyNumberFormat="0" applyFill="0" applyAlignment="0" applyProtection="0"/>
    <xf numFmtId="0" fontId="44" fillId="0" borderId="0" applyFill="0" applyBorder="0">
      <alignment vertical="center"/>
    </xf>
    <xf numFmtId="0" fontId="46" fillId="0" borderId="11" applyNumberFormat="0" applyFill="0" applyAlignment="0" applyProtection="0"/>
    <xf numFmtId="0" fontId="46" fillId="0" borderId="11" applyNumberFormat="0" applyFill="0" applyAlignment="0" applyProtection="0"/>
    <xf numFmtId="0" fontId="3" fillId="0" borderId="0" applyFill="0" applyBorder="0">
      <alignment vertical="center"/>
    </xf>
    <xf numFmtId="0" fontId="3" fillId="0" borderId="0" applyFill="0" applyBorder="0">
      <alignment vertical="center"/>
    </xf>
    <xf numFmtId="0" fontId="2" fillId="0" borderId="0" applyFill="0" applyBorder="0">
      <alignment vertical="center"/>
    </xf>
    <xf numFmtId="0" fontId="46" fillId="0" borderId="0" applyNumberFormat="0" applyFill="0" applyBorder="0" applyAlignment="0" applyProtection="0"/>
    <xf numFmtId="0" fontId="2" fillId="0" borderId="0" applyFill="0" applyBorder="0">
      <alignment vertical="center"/>
    </xf>
    <xf numFmtId="185" fontId="47" fillId="0" borderId="0"/>
    <xf numFmtId="0" fontId="48" fillId="0" borderId="0" applyNumberFormat="0" applyFill="0" applyBorder="0" applyAlignment="0" applyProtection="0">
      <alignment vertical="top"/>
      <protection locked="0"/>
    </xf>
    <xf numFmtId="0" fontId="49" fillId="0" borderId="0" applyFill="0" applyBorder="0">
      <alignment horizontal="center" vertical="center"/>
      <protection locked="0"/>
    </xf>
    <xf numFmtId="0" fontId="50" fillId="0" borderId="0" applyFill="0" applyBorder="0">
      <alignment horizontal="left" vertical="center"/>
      <protection locked="0"/>
    </xf>
    <xf numFmtId="186" fontId="1" fillId="46" borderId="0" applyFont="0" applyBorder="0">
      <alignment horizontal="right"/>
    </xf>
    <xf numFmtId="0" fontId="51" fillId="22" borderId="7" applyNumberFormat="0" applyAlignment="0" applyProtection="0"/>
    <xf numFmtId="179" fontId="1" fillId="17" borderId="0" applyFont="0" applyBorder="0" applyAlignment="0">
      <alignment horizontal="right"/>
      <protection locked="0"/>
    </xf>
    <xf numFmtId="179" fontId="1" fillId="47" borderId="0" applyFont="0" applyBorder="0" applyAlignment="0">
      <alignment horizontal="right"/>
      <protection locked="0"/>
    </xf>
    <xf numFmtId="187" fontId="1" fillId="48" borderId="0" applyFont="0" applyBorder="0">
      <alignment horizontal="right"/>
      <protection locked="0"/>
    </xf>
    <xf numFmtId="187" fontId="1" fillId="48" borderId="0" applyFont="0" applyBorder="0">
      <alignment horizontal="right"/>
      <protection locked="0"/>
    </xf>
    <xf numFmtId="179" fontId="1" fillId="46" borderId="0" applyFont="0" applyBorder="0">
      <alignment horizontal="right"/>
      <protection locked="0"/>
    </xf>
    <xf numFmtId="179" fontId="1" fillId="46" borderId="0" applyFont="0" applyBorder="0">
      <alignment horizontal="right"/>
      <protection locked="0"/>
    </xf>
    <xf numFmtId="0" fontId="2" fillId="16" borderId="0"/>
    <xf numFmtId="0" fontId="52" fillId="0" borderId="12" applyNumberFormat="0" applyFill="0" applyAlignment="0" applyProtection="0"/>
    <xf numFmtId="188" fontId="53" fillId="0" borderId="0"/>
    <xf numFmtId="0" fontId="54" fillId="0" borderId="0" applyFill="0" applyBorder="0">
      <alignment horizontal="left" vertical="center"/>
    </xf>
    <xf numFmtId="0" fontId="55" fillId="25" borderId="0" applyNumberFormat="0" applyBorder="0" applyAlignment="0" applyProtection="0"/>
    <xf numFmtId="175" fontId="56" fillId="0" borderId="0"/>
    <xf numFmtId="0" fontId="1"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24" fillId="0" borderId="0"/>
    <xf numFmtId="0" fontId="1" fillId="0" borderId="0"/>
    <xf numFmtId="0" fontId="30" fillId="0" borderId="0"/>
    <xf numFmtId="0" fontId="1" fillId="18" borderId="0"/>
    <xf numFmtId="0" fontId="1" fillId="0" borderId="0"/>
    <xf numFmtId="0" fontId="6" fillId="0" borderId="0"/>
    <xf numFmtId="0" fontId="1" fillId="0" borderId="0"/>
    <xf numFmtId="0" fontId="1" fillId="0" borderId="0"/>
    <xf numFmtId="0" fontId="1" fillId="23" borderId="13" applyNumberFormat="0" applyFont="0" applyAlignment="0" applyProtection="0"/>
    <xf numFmtId="0" fontId="57" fillId="24" borderId="14" applyNumberFormat="0" applyAlignment="0" applyProtection="0"/>
    <xf numFmtId="189" fontId="1" fillId="0" borderId="0" applyFill="0" applyBorder="0"/>
    <xf numFmtId="189" fontId="1" fillId="0" borderId="0" applyFill="0" applyBorder="0"/>
    <xf numFmtId="189" fontId="1"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5" fontId="58" fillId="0" borderId="0"/>
    <xf numFmtId="0" fontId="3" fillId="0" borderId="0" applyFill="0" applyBorder="0">
      <alignment vertical="center"/>
    </xf>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190" fontId="59" fillId="0" borderId="15"/>
    <xf numFmtId="0" fontId="60" fillId="0" borderId="16">
      <alignment horizontal="center"/>
    </xf>
    <xf numFmtId="3" fontId="36" fillId="0" borderId="0" applyFont="0" applyFill="0" applyBorder="0" applyAlignment="0" applyProtection="0"/>
    <xf numFmtId="0" fontId="36" fillId="49" borderId="0" applyNumberFormat="0" applyFont="0" applyBorder="0" applyAlignment="0" applyProtection="0"/>
    <xf numFmtId="191" fontId="1" fillId="0" borderId="0"/>
    <xf numFmtId="191" fontId="1" fillId="0" borderId="0"/>
    <xf numFmtId="191" fontId="1" fillId="0" borderId="0"/>
    <xf numFmtId="192" fontId="2" fillId="0" borderId="0" applyFill="0" applyBorder="0">
      <alignment horizontal="right" vertical="center"/>
    </xf>
    <xf numFmtId="193" fontId="2" fillId="0" borderId="0" applyFill="0" applyBorder="0">
      <alignment horizontal="right" vertical="center"/>
    </xf>
    <xf numFmtId="194" fontId="2" fillId="0" borderId="0" applyFill="0" applyBorder="0">
      <alignment horizontal="right" vertical="center"/>
    </xf>
    <xf numFmtId="0" fontId="25" fillId="20" borderId="0">
      <alignment horizontal="left" vertical="center"/>
      <protection locked="0"/>
    </xf>
    <xf numFmtId="0" fontId="1" fillId="23" borderId="0" applyNumberFormat="0" applyFont="0" applyBorder="0" applyAlignment="0" applyProtection="0"/>
    <xf numFmtId="0" fontId="1" fillId="23" borderId="0" applyNumberFormat="0" applyFont="0" applyBorder="0" applyAlignment="0" applyProtection="0"/>
    <xf numFmtId="0" fontId="1" fillId="24" borderId="0" applyNumberFormat="0" applyFont="0" applyBorder="0" applyAlignment="0" applyProtection="0"/>
    <xf numFmtId="0" fontId="1" fillId="24" borderId="0" applyNumberFormat="0" applyFont="0" applyBorder="0" applyAlignment="0" applyProtection="0"/>
    <xf numFmtId="0" fontId="1" fillId="26" borderId="0" applyNumberFormat="0" applyFont="0" applyBorder="0" applyAlignment="0" applyProtection="0"/>
    <xf numFmtId="0" fontId="1" fillId="26" borderId="0" applyNumberFormat="0" applyFont="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26" borderId="0" applyNumberFormat="0" applyFont="0" applyBorder="0" applyAlignment="0" applyProtection="0"/>
    <xf numFmtId="0" fontId="1" fillId="26" borderId="0" applyNumberFormat="0" applyFont="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Border="0" applyAlignment="0" applyProtection="0"/>
    <xf numFmtId="0" fontId="1" fillId="0" borderId="0" applyNumberFormat="0" applyFont="0" applyBorder="0" applyAlignment="0" applyProtection="0"/>
    <xf numFmtId="0" fontId="61" fillId="0" borderId="0" applyNumberFormat="0" applyFill="0" applyBorder="0" applyAlignment="0" applyProtection="0"/>
    <xf numFmtId="0" fontId="1" fillId="0" borderId="0"/>
    <xf numFmtId="0" fontId="1" fillId="0" borderId="0"/>
    <xf numFmtId="0" fontId="1" fillId="0" borderId="0"/>
    <xf numFmtId="0" fontId="54" fillId="0" borderId="0"/>
    <xf numFmtId="0" fontId="23" fillId="0" borderId="0"/>
    <xf numFmtId="15" fontId="1" fillId="0" borderId="0"/>
    <xf numFmtId="15" fontId="1" fillId="0" borderId="0"/>
    <xf numFmtId="15" fontId="1" fillId="0" borderId="0"/>
    <xf numFmtId="10" fontId="1" fillId="0" borderId="0"/>
    <xf numFmtId="10" fontId="1" fillId="0" borderId="0"/>
    <xf numFmtId="10" fontId="1" fillId="0" borderId="0"/>
    <xf numFmtId="0" fontId="62" fillId="19" borderId="6" applyBorder="0" applyProtection="0">
      <alignment horizontal="centerContinuous" vertical="center"/>
    </xf>
    <xf numFmtId="0" fontId="63" fillId="0" borderId="0" applyBorder="0" applyProtection="0">
      <alignment vertical="center"/>
    </xf>
    <xf numFmtId="0" fontId="64" fillId="0" borderId="0">
      <alignment horizontal="left"/>
    </xf>
    <xf numFmtId="0" fontId="64" fillId="0" borderId="3" applyFill="0" applyBorder="0" applyProtection="0">
      <alignment horizontal="left" vertical="top"/>
    </xf>
    <xf numFmtId="49" fontId="1" fillId="0" borderId="0" applyFont="0" applyFill="0" applyBorder="0" applyAlignment="0" applyProtection="0"/>
    <xf numFmtId="0" fontId="65" fillId="0" borderId="0"/>
    <xf numFmtId="49" fontId="1" fillId="0" borderId="0" applyFont="0" applyFill="0" applyBorder="0" applyAlignment="0" applyProtection="0"/>
    <xf numFmtId="0" fontId="66" fillId="0" borderId="0"/>
    <xf numFmtId="0" fontId="66" fillId="0" borderId="0"/>
    <xf numFmtId="0" fontId="65" fillId="0" borderId="0"/>
    <xf numFmtId="188" fontId="67" fillId="0" borderId="0"/>
    <xf numFmtId="0" fontId="61" fillId="0" borderId="0" applyNumberFormat="0" applyFill="0" applyBorder="0" applyAlignment="0" applyProtection="0"/>
    <xf numFmtId="0" fontId="68" fillId="0" borderId="0" applyFill="0" applyBorder="0">
      <alignment horizontal="left" vertical="center"/>
      <protection locked="0"/>
    </xf>
    <xf numFmtId="0" fontId="65" fillId="0" borderId="0"/>
    <xf numFmtId="0" fontId="69" fillId="0" borderId="0" applyFill="0" applyBorder="0">
      <alignment horizontal="left" vertical="center"/>
      <protection locked="0"/>
    </xf>
    <xf numFmtId="0" fontId="21" fillId="0" borderId="17" applyNumberFormat="0" applyFill="0" applyAlignment="0" applyProtection="0"/>
    <xf numFmtId="0" fontId="70" fillId="0" borderId="0" applyNumberFormat="0" applyFill="0" applyBorder="0" applyAlignment="0" applyProtection="0"/>
    <xf numFmtId="195" fontId="1" fillId="0" borderId="6" applyBorder="0" applyProtection="0">
      <alignment horizontal="right"/>
    </xf>
    <xf numFmtId="195" fontId="1" fillId="0" borderId="6" applyBorder="0" applyProtection="0">
      <alignment horizontal="right"/>
    </xf>
    <xf numFmtId="195" fontId="1" fillId="0" borderId="6" applyBorder="0" applyProtection="0">
      <alignment horizontal="right"/>
    </xf>
    <xf numFmtId="0" fontId="60" fillId="0" borderId="5">
      <alignment horizontal="center"/>
    </xf>
    <xf numFmtId="0" fontId="24" fillId="0" borderId="0"/>
  </cellStyleXfs>
  <cellXfs count="125">
    <xf numFmtId="0" fontId="0" fillId="0" borderId="0" xfId="0"/>
    <xf numFmtId="0" fontId="2" fillId="0" borderId="0" xfId="0" applyFont="1" applyAlignment="1">
      <alignment wrapText="1"/>
    </xf>
    <xf numFmtId="0" fontId="0" fillId="0" borderId="0" xfId="0"/>
    <xf numFmtId="0" fontId="0" fillId="0" borderId="0" xfId="0" applyBorder="1"/>
    <xf numFmtId="4" fontId="0" fillId="0" borderId="1" xfId="0" applyNumberFormat="1" applyBorder="1"/>
    <xf numFmtId="0" fontId="3" fillId="0" borderId="0" xfId="0" applyFont="1" applyAlignment="1"/>
    <xf numFmtId="164" fontId="3" fillId="0" borderId="0" xfId="0" applyNumberFormat="1" applyFont="1" applyAlignment="1"/>
    <xf numFmtId="164" fontId="2" fillId="0" borderId="0" xfId="0" applyNumberFormat="1" applyFont="1" applyAlignment="1">
      <alignment horizontal="left"/>
    </xf>
    <xf numFmtId="0" fontId="2" fillId="0" borderId="0" xfId="0" applyFont="1" applyAlignment="1"/>
    <xf numFmtId="0" fontId="2" fillId="0" borderId="0" xfId="0" applyFont="1" applyAlignment="1">
      <alignment horizontal="right" wrapText="1"/>
    </xf>
    <xf numFmtId="0" fontId="2" fillId="0" borderId="0" xfId="0" applyFont="1" applyAlignment="1">
      <alignment horizontal="right"/>
    </xf>
    <xf numFmtId="164" fontId="2" fillId="0" borderId="0" xfId="0" applyNumberFormat="1" applyFont="1" applyAlignment="1"/>
    <xf numFmtId="165" fontId="2" fillId="0" borderId="0" xfId="0" applyNumberFormat="1" applyFont="1" applyAlignment="1"/>
    <xf numFmtId="166" fontId="0" fillId="0" borderId="0" xfId="0" applyNumberFormat="1"/>
    <xf numFmtId="0" fontId="0" fillId="0" borderId="0" xfId="0" applyAlignment="1">
      <alignment horizontal="right"/>
    </xf>
    <xf numFmtId="166" fontId="0" fillId="0" borderId="1" xfId="0" applyNumberFormat="1" applyBorder="1"/>
    <xf numFmtId="167" fontId="0" fillId="0" borderId="1" xfId="0" applyNumberFormat="1" applyBorder="1"/>
    <xf numFmtId="0" fontId="0" fillId="0" borderId="1" xfId="0" applyBorder="1"/>
    <xf numFmtId="3" fontId="0" fillId="0" borderId="1" xfId="0" applyNumberFormat="1" applyBorder="1"/>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0" fontId="0" fillId="3" borderId="0" xfId="0" applyFill="1"/>
    <xf numFmtId="0" fontId="5" fillId="0" borderId="0" xfId="0" applyFont="1"/>
    <xf numFmtId="3" fontId="0" fillId="0" borderId="0" xfId="0" applyNumberFormat="1"/>
    <xf numFmtId="169" fontId="0" fillId="0" borderId="0" xfId="3" applyNumberFormat="1" applyFont="1"/>
    <xf numFmtId="10" fontId="0" fillId="0" borderId="0" xfId="0" applyNumberFormat="1"/>
    <xf numFmtId="0" fontId="0" fillId="0" borderId="0" xfId="0" applyFill="1" applyBorder="1"/>
    <xf numFmtId="169" fontId="0" fillId="0" borderId="0" xfId="0" applyNumberFormat="1"/>
    <xf numFmtId="168" fontId="0" fillId="0" borderId="0" xfId="0" applyNumberFormat="1"/>
    <xf numFmtId="9" fontId="0" fillId="0" borderId="0" xfId="0" applyNumberFormat="1"/>
    <xf numFmtId="165" fontId="7" fillId="0" borderId="0" xfId="0" applyNumberFormat="1" applyFont="1" applyAlignment="1"/>
    <xf numFmtId="0" fontId="0" fillId="0" borderId="1" xfId="0" applyFill="1" applyBorder="1"/>
    <xf numFmtId="4" fontId="0" fillId="0" borderId="1" xfId="0" applyNumberFormat="1" applyFill="1" applyBorder="1"/>
    <xf numFmtId="0" fontId="0" fillId="0" borderId="0" xfId="0" applyFill="1"/>
    <xf numFmtId="0" fontId="10" fillId="0" borderId="0" xfId="0" applyFont="1" applyFill="1"/>
    <xf numFmtId="0" fontId="4" fillId="0" borderId="0" xfId="0" applyFont="1" applyFill="1"/>
    <xf numFmtId="0" fontId="0" fillId="4" borderId="0" xfId="0" applyFill="1"/>
    <xf numFmtId="0" fontId="4" fillId="4" borderId="0" xfId="0" applyFont="1" applyFill="1"/>
    <xf numFmtId="169" fontId="0" fillId="2" borderId="1" xfId="3" applyNumberFormat="1" applyFont="1" applyFill="1" applyBorder="1"/>
    <xf numFmtId="170" fontId="0" fillId="0" borderId="1" xfId="6" applyNumberFormat="1" applyFont="1" applyBorder="1"/>
    <xf numFmtId="0" fontId="5" fillId="0" borderId="0" xfId="0" applyFont="1" applyFill="1" applyBorder="1"/>
    <xf numFmtId="169" fontId="0" fillId="3" borderId="1" xfId="3" applyNumberFormat="1" applyFont="1" applyFill="1" applyBorder="1"/>
    <xf numFmtId="172" fontId="0" fillId="3" borderId="1" xfId="0" applyNumberFormat="1" applyFill="1" applyBorder="1"/>
    <xf numFmtId="165" fontId="0" fillId="0" borderId="0" xfId="0" applyNumberFormat="1"/>
    <xf numFmtId="3" fontId="0" fillId="0" borderId="1" xfId="0" applyNumberFormat="1" applyFill="1" applyBorder="1"/>
    <xf numFmtId="169" fontId="0" fillId="0" borderId="1" xfId="3" applyNumberFormat="1" applyFont="1" applyFill="1" applyBorder="1"/>
    <xf numFmtId="4" fontId="0" fillId="6" borderId="1" xfId="0" applyNumberFormat="1" applyFill="1" applyBorder="1"/>
    <xf numFmtId="3" fontId="0" fillId="6" borderId="1" xfId="0" applyNumberFormat="1" applyFill="1" applyBorder="1"/>
    <xf numFmtId="3" fontId="0" fillId="6" borderId="1" xfId="0" quotePrefix="1" applyNumberFormat="1" applyFill="1" applyBorder="1"/>
    <xf numFmtId="0" fontId="0" fillId="6" borderId="0" xfId="0" applyFill="1"/>
    <xf numFmtId="173" fontId="0" fillId="0" borderId="0" xfId="0" applyNumberFormat="1"/>
    <xf numFmtId="174" fontId="0" fillId="6" borderId="1" xfId="0" applyNumberFormat="1" applyFill="1" applyBorder="1"/>
    <xf numFmtId="3" fontId="0" fillId="5" borderId="1" xfId="0" applyNumberFormat="1" applyFill="1" applyBorder="1"/>
    <xf numFmtId="167" fontId="0" fillId="0" borderId="0" xfId="0" applyNumberFormat="1"/>
    <xf numFmtId="0" fontId="11" fillId="0" borderId="0" xfId="0" applyFont="1" applyFill="1"/>
    <xf numFmtId="0" fontId="0" fillId="7" borderId="0" xfId="0" applyFill="1" applyAlignment="1">
      <alignment wrapText="1"/>
    </xf>
    <xf numFmtId="0" fontId="0" fillId="8" borderId="0" xfId="0" applyFill="1" applyAlignment="1">
      <alignment wrapText="1"/>
    </xf>
    <xf numFmtId="169" fontId="0" fillId="8" borderId="1" xfId="3" applyNumberFormat="1" applyFont="1" applyFill="1" applyBorder="1"/>
    <xf numFmtId="0" fontId="0" fillId="9" borderId="0" xfId="0" applyFill="1" applyAlignment="1">
      <alignment wrapText="1"/>
    </xf>
    <xf numFmtId="4" fontId="0" fillId="9" borderId="1" xfId="0" applyNumberFormat="1" applyFill="1" applyBorder="1"/>
    <xf numFmtId="3" fontId="0" fillId="9" borderId="1" xfId="0" applyNumberFormat="1" applyFill="1" applyBorder="1"/>
    <xf numFmtId="0" fontId="0" fillId="10" borderId="0" xfId="0" applyFill="1" applyAlignment="1">
      <alignment wrapText="1"/>
    </xf>
    <xf numFmtId="168" fontId="0" fillId="10" borderId="1" xfId="0" applyNumberFormat="1" applyFill="1" applyBorder="1"/>
    <xf numFmtId="168" fontId="0" fillId="7" borderId="1" xfId="0" applyNumberFormat="1" applyFill="1" applyBorder="1"/>
    <xf numFmtId="0" fontId="0" fillId="11" borderId="0" xfId="0" applyFill="1" applyAlignment="1">
      <alignment wrapText="1"/>
    </xf>
    <xf numFmtId="168" fontId="0" fillId="11" borderId="1" xfId="0" applyNumberFormat="1" applyFill="1" applyBorder="1"/>
    <xf numFmtId="171" fontId="0" fillId="9" borderId="1" xfId="6" applyNumberFormat="1" applyFont="1" applyFill="1" applyBorder="1" applyAlignment="1">
      <alignment wrapText="1"/>
    </xf>
    <xf numFmtId="0" fontId="0" fillId="0" borderId="0" xfId="0" applyFill="1" applyAlignment="1">
      <alignment wrapText="1"/>
    </xf>
    <xf numFmtId="171" fontId="0" fillId="0" borderId="1" xfId="6" applyNumberFormat="1" applyFont="1" applyFill="1" applyBorder="1" applyAlignment="1">
      <alignment wrapText="1"/>
    </xf>
    <xf numFmtId="173" fontId="0" fillId="0" borderId="1" xfId="0" applyNumberFormat="1" applyBorder="1"/>
    <xf numFmtId="175" fontId="0" fillId="0" borderId="1" xfId="3" applyNumberFormat="1" applyFont="1" applyBorder="1"/>
    <xf numFmtId="175" fontId="0" fillId="6" borderId="1" xfId="3" applyNumberFormat="1" applyFont="1" applyFill="1" applyBorder="1"/>
    <xf numFmtId="175" fontId="0" fillId="0" borderId="1" xfId="3" applyNumberFormat="1" applyFont="1" applyFill="1" applyBorder="1"/>
    <xf numFmtId="175" fontId="0" fillId="6" borderId="1" xfId="3" quotePrefix="1" applyNumberFormat="1" applyFont="1" applyFill="1" applyBorder="1"/>
    <xf numFmtId="0" fontId="12" fillId="0" borderId="0" xfId="0" applyFont="1"/>
    <xf numFmtId="3" fontId="13" fillId="12" borderId="1" xfId="7" applyNumberFormat="1" applyBorder="1"/>
    <xf numFmtId="4" fontId="0" fillId="0" borderId="0" xfId="0" applyNumberFormat="1"/>
    <xf numFmtId="175" fontId="0" fillId="0" borderId="0" xfId="0" applyNumberFormat="1"/>
    <xf numFmtId="175" fontId="13" fillId="12" borderId="1" xfId="7" applyNumberFormat="1" applyBorder="1"/>
    <xf numFmtId="2" fontId="0" fillId="0" borderId="0" xfId="0" applyNumberFormat="1"/>
    <xf numFmtId="3" fontId="14" fillId="13" borderId="1" xfId="8" applyNumberFormat="1" applyBorder="1"/>
    <xf numFmtId="176" fontId="0" fillId="0" borderId="0" xfId="0" applyNumberFormat="1"/>
    <xf numFmtId="0" fontId="0" fillId="5" borderId="0" xfId="0" applyFill="1"/>
    <xf numFmtId="4" fontId="0" fillId="5" borderId="0" xfId="0" applyNumberFormat="1" applyFill="1"/>
    <xf numFmtId="0" fontId="5" fillId="5" borderId="0" xfId="0" applyFont="1" applyFill="1"/>
    <xf numFmtId="3" fontId="0" fillId="14" borderId="1" xfId="0" applyNumberFormat="1" applyFill="1" applyBorder="1"/>
    <xf numFmtId="173" fontId="0" fillId="0" borderId="0" xfId="0" applyNumberFormat="1" applyBorder="1"/>
    <xf numFmtId="0" fontId="0" fillId="15" borderId="0" xfId="0" applyFont="1" applyFill="1" applyAlignment="1">
      <alignment horizontal="left"/>
    </xf>
    <xf numFmtId="0" fontId="0" fillId="5" borderId="1" xfId="0" applyFill="1" applyBorder="1"/>
    <xf numFmtId="0" fontId="0" fillId="5" borderId="0" xfId="0" applyFont="1" applyFill="1"/>
    <xf numFmtId="3" fontId="0" fillId="5" borderId="0" xfId="0" applyNumberFormat="1" applyFill="1"/>
    <xf numFmtId="177" fontId="0" fillId="0" borderId="0" xfId="0" applyNumberFormat="1"/>
    <xf numFmtId="0" fontId="5" fillId="0" borderId="0" xfId="0" applyFont="1" applyFill="1"/>
    <xf numFmtId="3" fontId="0" fillId="0" borderId="0" xfId="0" applyNumberFormat="1" applyFill="1" applyBorder="1"/>
    <xf numFmtId="0" fontId="0" fillId="0" borderId="3" xfId="0" applyFill="1" applyBorder="1"/>
    <xf numFmtId="0" fontId="0" fillId="0" borderId="2" xfId="0" applyFill="1" applyBorder="1"/>
    <xf numFmtId="0" fontId="0" fillId="14" borderId="1" xfId="0" applyFill="1" applyBorder="1"/>
    <xf numFmtId="178" fontId="0" fillId="0" borderId="0" xfId="0" applyNumberFormat="1"/>
    <xf numFmtId="166" fontId="0" fillId="0" borderId="1" xfId="9" applyNumberFormat="1" applyFont="1" applyFill="1" applyBorder="1"/>
    <xf numFmtId="9" fontId="5" fillId="0" borderId="0" xfId="0" applyNumberFormat="1" applyFont="1"/>
    <xf numFmtId="3" fontId="6" fillId="0" borderId="1" xfId="7" applyNumberFormat="1" applyFont="1" applyFill="1" applyBorder="1"/>
    <xf numFmtId="166" fontId="0" fillId="14" borderId="1" xfId="9" applyNumberFormat="1" applyFont="1" applyFill="1" applyBorder="1"/>
    <xf numFmtId="9" fontId="0" fillId="0" borderId="0" xfId="0" applyNumberFormat="1" applyFill="1" applyBorder="1"/>
    <xf numFmtId="3" fontId="13" fillId="0" borderId="0" xfId="7" applyNumberFormat="1" applyFill="1" applyBorder="1"/>
    <xf numFmtId="0" fontId="15" fillId="0" borderId="0" xfId="0" applyFont="1"/>
    <xf numFmtId="0" fontId="16" fillId="0" borderId="0" xfId="0" applyFont="1"/>
    <xf numFmtId="0" fontId="0" fillId="0" borderId="0" xfId="0" applyFont="1"/>
    <xf numFmtId="0" fontId="0" fillId="0" borderId="0" xfId="0" applyFont="1" applyAlignment="1">
      <alignment vertical="center"/>
    </xf>
    <xf numFmtId="0" fontId="16" fillId="0" borderId="0" xfId="0" applyFont="1" applyAlignment="1">
      <alignment vertical="center"/>
    </xf>
    <xf numFmtId="0" fontId="0" fillId="0" borderId="0" xfId="0" applyFont="1" applyAlignment="1">
      <alignment vertical="center" wrapText="1"/>
    </xf>
    <xf numFmtId="0" fontId="0" fillId="0" borderId="0" xfId="0" applyFont="1" applyAlignment="1">
      <alignment wrapText="1"/>
    </xf>
    <xf numFmtId="43" fontId="0" fillId="0" borderId="0" xfId="0" applyNumberFormat="1"/>
    <xf numFmtId="3" fontId="6" fillId="0" borderId="1" xfId="8" applyNumberFormat="1" applyFont="1" applyFill="1" applyBorder="1"/>
    <xf numFmtId="0" fontId="0" fillId="0" borderId="0" xfId="0" applyAlignment="1">
      <alignment horizontal="center"/>
    </xf>
    <xf numFmtId="0" fontId="17" fillId="0" borderId="4" xfId="10" applyAlignment="1">
      <alignment horizontal="center"/>
    </xf>
    <xf numFmtId="0" fontId="17" fillId="0" borderId="4" xfId="10"/>
    <xf numFmtId="0" fontId="0" fillId="0" borderId="0" xfId="0" applyAlignment="1">
      <alignment horizontal="left"/>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horizontal="left" vertical="top" wrapText="1"/>
    </xf>
    <xf numFmtId="3" fontId="0" fillId="14" borderId="0" xfId="0" applyNumberFormat="1" applyFill="1" applyBorder="1"/>
    <xf numFmtId="3" fontId="0" fillId="6" borderId="0" xfId="0" applyNumberFormat="1" applyFill="1" applyBorder="1"/>
    <xf numFmtId="164" fontId="18" fillId="0" borderId="0" xfId="0" applyNumberFormat="1" applyFont="1" applyAlignment="1">
      <alignment horizontal="left"/>
    </xf>
    <xf numFmtId="165" fontId="18" fillId="0" borderId="0" xfId="0" applyNumberFormat="1" applyFont="1" applyAlignment="1"/>
  </cellXfs>
  <cellStyles count="269">
    <cellStyle name=" 1" xfId="15"/>
    <cellStyle name=" 1 2" xfId="16"/>
    <cellStyle name=" 1 2 2" xfId="17"/>
    <cellStyle name=" 1 3" xfId="18"/>
    <cellStyle name=" 1 3 2" xfId="19"/>
    <cellStyle name=" 1 4" xfId="20"/>
    <cellStyle name=" 1_29(d) - Gas extensions -tariffs" xfId="21"/>
    <cellStyle name="_3GIS model v2.77_Distribution Business_Retail Fin Perform " xfId="22"/>
    <cellStyle name="_3GIS model v2.77_Fleet Overhead Costs 2_Retail Fin Perform " xfId="23"/>
    <cellStyle name="_3GIS model v2.77_Fleet Overhead Costs_Retail Fin Perform " xfId="24"/>
    <cellStyle name="_3GIS model v2.77_Forecast 2_Retail Fin Perform " xfId="25"/>
    <cellStyle name="_3GIS model v2.77_Forecast_Retail Fin Perform " xfId="26"/>
    <cellStyle name="_3GIS model v2.77_Funding &amp; Cashflow_1_Retail Fin Perform " xfId="27"/>
    <cellStyle name="_3GIS model v2.77_Funding &amp; Cashflow_Retail Fin Perform " xfId="28"/>
    <cellStyle name="_3GIS model v2.77_Group P&amp;L_1_Retail Fin Perform " xfId="29"/>
    <cellStyle name="_3GIS model v2.77_Group P&amp;L_Retail Fin Perform " xfId="30"/>
    <cellStyle name="_3GIS model v2.77_Opening  Detailed BS_Retail Fin Perform " xfId="31"/>
    <cellStyle name="_3GIS model v2.77_OUTPUT DB_Retail Fin Perform " xfId="32"/>
    <cellStyle name="_3GIS model v2.77_OUTPUT EB_Retail Fin Perform " xfId="33"/>
    <cellStyle name="_3GIS model v2.77_Report_Retail Fin Perform " xfId="34"/>
    <cellStyle name="_3GIS model v2.77_Retail Fin Perform " xfId="35"/>
    <cellStyle name="_3GIS model v2.77_Sheet2 2_Retail Fin Perform " xfId="36"/>
    <cellStyle name="_3GIS model v2.77_Sheet2_Retail Fin Perform " xfId="37"/>
    <cellStyle name="_Capex" xfId="38"/>
    <cellStyle name="_Capex 2" xfId="39"/>
    <cellStyle name="_Capex_29(d) - Gas extensions -tariffs" xfId="40"/>
    <cellStyle name="_UED AMP 2009-14 Final 250309 Less PU" xfId="41"/>
    <cellStyle name="_UED AMP 2009-14 Final 250309 Less PU_1011 monthly" xfId="42"/>
    <cellStyle name="20% - Accent1 2" xfId="43"/>
    <cellStyle name="20% - Accent2 2" xfId="44"/>
    <cellStyle name="20% - Accent3 2" xfId="45"/>
    <cellStyle name="20% - Accent4 2" xfId="46"/>
    <cellStyle name="20% - Accent5 2" xfId="47"/>
    <cellStyle name="20% - Accent6 2" xfId="48"/>
    <cellStyle name="40% - Accent1 2" xfId="49"/>
    <cellStyle name="40% - Accent2 2" xfId="50"/>
    <cellStyle name="40% - Accent3 2" xfId="51"/>
    <cellStyle name="40% - Accent4 2" xfId="52"/>
    <cellStyle name="40% - Accent5 2" xfId="53"/>
    <cellStyle name="40% - Accent6 2" xfId="54"/>
    <cellStyle name="60% - Accent1 2" xfId="55"/>
    <cellStyle name="60% - Accent2 2" xfId="56"/>
    <cellStyle name="60% - Accent3 2" xfId="57"/>
    <cellStyle name="60% - Accent4 2" xfId="58"/>
    <cellStyle name="60% - Accent5 2" xfId="59"/>
    <cellStyle name="60% - Accent6 2" xfId="60"/>
    <cellStyle name="Accent1 - 20%" xfId="61"/>
    <cellStyle name="Accent1 - 40%" xfId="62"/>
    <cellStyle name="Accent1 - 60%" xfId="63"/>
    <cellStyle name="Accent1 2" xfId="64"/>
    <cellStyle name="Accent2 - 20%" xfId="65"/>
    <cellStyle name="Accent2 - 40%" xfId="66"/>
    <cellStyle name="Accent2 - 60%" xfId="67"/>
    <cellStyle name="Accent2 2" xfId="68"/>
    <cellStyle name="Accent3 - 20%" xfId="69"/>
    <cellStyle name="Accent3 - 40%" xfId="70"/>
    <cellStyle name="Accent3 - 60%" xfId="71"/>
    <cellStyle name="Accent3 2" xfId="72"/>
    <cellStyle name="Accent4 - 20%" xfId="73"/>
    <cellStyle name="Accent4 - 40%" xfId="74"/>
    <cellStyle name="Accent4 - 60%" xfId="75"/>
    <cellStyle name="Accent4 2" xfId="76"/>
    <cellStyle name="Accent5 - 20%" xfId="77"/>
    <cellStyle name="Accent5 - 40%" xfId="78"/>
    <cellStyle name="Accent5 - 60%" xfId="79"/>
    <cellStyle name="Accent5 2" xfId="80"/>
    <cellStyle name="Accent6 - 20%" xfId="81"/>
    <cellStyle name="Accent6 - 40%" xfId="82"/>
    <cellStyle name="Accent6 - 60%" xfId="83"/>
    <cellStyle name="Accent6 2" xfId="84"/>
    <cellStyle name="Agara" xfId="85"/>
    <cellStyle name="B79812_.wvu.PrintTitlest" xfId="86"/>
    <cellStyle name="Bad" xfId="7" builtinId="27"/>
    <cellStyle name="Bad 2" xfId="87"/>
    <cellStyle name="Black" xfId="88"/>
    <cellStyle name="Blockout" xfId="11"/>
    <cellStyle name="Blockout 2" xfId="14"/>
    <cellStyle name="Blue" xfId="89"/>
    <cellStyle name="Calculation 2" xfId="90"/>
    <cellStyle name="Check Cell 2" xfId="91"/>
    <cellStyle name="Comma" xfId="6" builtinId="3"/>
    <cellStyle name="Comma [0]7Z_87C" xfId="92"/>
    <cellStyle name="Comma 0" xfId="93"/>
    <cellStyle name="Comma 1" xfId="94"/>
    <cellStyle name="Comma 1 2" xfId="95"/>
    <cellStyle name="Comma 2" xfId="4"/>
    <cellStyle name="Comma 2 2" xfId="96"/>
    <cellStyle name="Comma 2 3" xfId="97"/>
    <cellStyle name="Comma 2 3 2" xfId="98"/>
    <cellStyle name="Comma 2 4" xfId="99"/>
    <cellStyle name="Comma 2 5" xfId="100"/>
    <cellStyle name="Comma 3" xfId="101"/>
    <cellStyle name="Comma 3 2" xfId="102"/>
    <cellStyle name="Comma 3 3" xfId="103"/>
    <cellStyle name="Comma 4" xfId="104"/>
    <cellStyle name="Comma 5" xfId="105"/>
    <cellStyle name="Comma 6" xfId="106"/>
    <cellStyle name="Comma 7" xfId="107"/>
    <cellStyle name="Comma 8" xfId="108"/>
    <cellStyle name="Comma0" xfId="109"/>
    <cellStyle name="Currency" xfId="3" builtinId="4"/>
    <cellStyle name="Currency 11" xfId="110"/>
    <cellStyle name="Currency 11 2" xfId="111"/>
    <cellStyle name="Currency 2" xfId="112"/>
    <cellStyle name="Currency 2 2" xfId="113"/>
    <cellStyle name="Currency 3" xfId="114"/>
    <cellStyle name="Currency 3 2" xfId="115"/>
    <cellStyle name="Currency 4" xfId="116"/>
    <cellStyle name="Currency 4 2" xfId="117"/>
    <cellStyle name="D4_B8B1_005004B79812_.wvu.PrintTitlest" xfId="118"/>
    <cellStyle name="Date" xfId="119"/>
    <cellStyle name="Date 2" xfId="120"/>
    <cellStyle name="Emphasis 1" xfId="121"/>
    <cellStyle name="Emphasis 2" xfId="122"/>
    <cellStyle name="Emphasis 3" xfId="123"/>
    <cellStyle name="Euro" xfId="124"/>
    <cellStyle name="Explanatory Text 2" xfId="125"/>
    <cellStyle name="Fixed" xfId="126"/>
    <cellStyle name="Fixed 2" xfId="127"/>
    <cellStyle name="Gilsans" xfId="128"/>
    <cellStyle name="Gilsansl" xfId="129"/>
    <cellStyle name="Good" xfId="8" builtinId="26"/>
    <cellStyle name="Good 2" xfId="130"/>
    <cellStyle name="Heading 1 2" xfId="131"/>
    <cellStyle name="Heading 1 2 2" xfId="132"/>
    <cellStyle name="Heading 1 3" xfId="133"/>
    <cellStyle name="Heading 2 2" xfId="134"/>
    <cellStyle name="Heading 2 2 2" xfId="135"/>
    <cellStyle name="Heading 2 3" xfId="136"/>
    <cellStyle name="Heading 3" xfId="10" builtinId="18"/>
    <cellStyle name="Heading 3 2" xfId="137"/>
    <cellStyle name="Heading 3 2 2" xfId="138"/>
    <cellStyle name="Heading 3 2 3" xfId="139"/>
    <cellStyle name="Heading 3 3" xfId="140"/>
    <cellStyle name="Heading 4 2" xfId="141"/>
    <cellStyle name="Heading 4 2 2" xfId="142"/>
    <cellStyle name="Heading 4 3" xfId="143"/>
    <cellStyle name="Heading(4)" xfId="144"/>
    <cellStyle name="Hyperlink 2" xfId="145"/>
    <cellStyle name="Hyperlink Arrow" xfId="146"/>
    <cellStyle name="Hyperlink Text" xfId="147"/>
    <cellStyle name="import_ICRC Electricity model 1-1  (1 Feb 2003) " xfId="148"/>
    <cellStyle name="Input 2" xfId="149"/>
    <cellStyle name="Input1" xfId="12"/>
    <cellStyle name="Input1 2" xfId="150"/>
    <cellStyle name="Input1_ICRC Electricity model 1-1  (1 Feb 2003) " xfId="151"/>
    <cellStyle name="Input2" xfId="152"/>
    <cellStyle name="Input2 2" xfId="153"/>
    <cellStyle name="Input3" xfId="154"/>
    <cellStyle name="Input3 2" xfId="155"/>
    <cellStyle name="Lines" xfId="156"/>
    <cellStyle name="Linked Cell 2" xfId="157"/>
    <cellStyle name="Mine" xfId="158"/>
    <cellStyle name="Model Name" xfId="159"/>
    <cellStyle name="Neutral 2" xfId="160"/>
    <cellStyle name="Normal" xfId="0" builtinId="0"/>
    <cellStyle name="Normal - Style1" xfId="161"/>
    <cellStyle name="Normal 114" xfId="162"/>
    <cellStyle name="Normal 13" xfId="163"/>
    <cellStyle name="Normal 13 2" xfId="164"/>
    <cellStyle name="Normal 13_29(d) - Gas extensions -tariffs" xfId="165"/>
    <cellStyle name="Normal 15" xfId="166"/>
    <cellStyle name="Normal 16" xfId="167"/>
    <cellStyle name="Normal 2" xfId="2"/>
    <cellStyle name="Normal 2 2" xfId="13"/>
    <cellStyle name="Normal 2 2 2" xfId="168"/>
    <cellStyle name="Normal 2 2 3" xfId="268"/>
    <cellStyle name="Normal 2 3" xfId="169"/>
    <cellStyle name="Normal 2 3 2" xfId="170"/>
    <cellStyle name="Normal 2 3_29(d) - Gas extensions -tariffs" xfId="171"/>
    <cellStyle name="Normal 2 4" xfId="172"/>
    <cellStyle name="Normal 2 5" xfId="173"/>
    <cellStyle name="Normal 2_29(d) - Gas extensions -tariffs" xfId="174"/>
    <cellStyle name="Normal 3" xfId="1"/>
    <cellStyle name="Normal 3 2" xfId="175"/>
    <cellStyle name="Normal 3_29(d) - Gas extensions -tariffs" xfId="176"/>
    <cellStyle name="Normal 38" xfId="177"/>
    <cellStyle name="Normal 38 2" xfId="178"/>
    <cellStyle name="Normal 38_29(d) - Gas extensions -tariffs" xfId="179"/>
    <cellStyle name="Normal 4" xfId="180"/>
    <cellStyle name="Normal 4 2" xfId="181"/>
    <cellStyle name="Normal 4 3" xfId="182"/>
    <cellStyle name="Normal 4_29(d) - Gas extensions -tariffs" xfId="183"/>
    <cellStyle name="Normal 40" xfId="184"/>
    <cellStyle name="Normal 40 2" xfId="185"/>
    <cellStyle name="Normal 40_29(d) - Gas extensions -tariffs" xfId="186"/>
    <cellStyle name="Normal 5" xfId="187"/>
    <cellStyle name="Normal 5 2" xfId="188"/>
    <cellStyle name="Normal 6" xfId="189"/>
    <cellStyle name="Normal 6 2" xfId="190"/>
    <cellStyle name="Normal 7" xfId="191"/>
    <cellStyle name="Normal 7 2" xfId="192"/>
    <cellStyle name="Normal 8" xfId="193"/>
    <cellStyle name="Normal 9" xfId="194"/>
    <cellStyle name="Note 2" xfId="195"/>
    <cellStyle name="Output 2" xfId="196"/>
    <cellStyle name="Percent" xfId="9" builtinId="5"/>
    <cellStyle name="Percent [2]" xfId="197"/>
    <cellStyle name="Percent [2] 2" xfId="198"/>
    <cellStyle name="Percent [2]_29(d) - Gas extensions -tariffs" xfId="199"/>
    <cellStyle name="Percent 2" xfId="5"/>
    <cellStyle name="Percent 2 2" xfId="200"/>
    <cellStyle name="Percent 3" xfId="201"/>
    <cellStyle name="Percent 3 2" xfId="202"/>
    <cellStyle name="Percent 4" xfId="203"/>
    <cellStyle name="Percent 7" xfId="204"/>
    <cellStyle name="Percentage" xfId="205"/>
    <cellStyle name="Period Title" xfId="206"/>
    <cellStyle name="PSChar" xfId="207"/>
    <cellStyle name="PSDate" xfId="208"/>
    <cellStyle name="PSDec" xfId="209"/>
    <cellStyle name="PSDetail" xfId="210"/>
    <cellStyle name="PSHeading" xfId="211"/>
    <cellStyle name="PSHeading 2" xfId="267"/>
    <cellStyle name="PSInt" xfId="212"/>
    <cellStyle name="PSSpacer" xfId="213"/>
    <cellStyle name="Ratio" xfId="214"/>
    <cellStyle name="Ratio 2" xfId="215"/>
    <cellStyle name="Ratio_29(d) - Gas extensions -tariffs" xfId="216"/>
    <cellStyle name="Right Date" xfId="217"/>
    <cellStyle name="Right Number" xfId="218"/>
    <cellStyle name="Right Year" xfId="219"/>
    <cellStyle name="RIN_TB2" xfId="220"/>
    <cellStyle name="SAPError" xfId="221"/>
    <cellStyle name="SAPError 2" xfId="222"/>
    <cellStyle name="SAPKey" xfId="223"/>
    <cellStyle name="SAPKey 2" xfId="224"/>
    <cellStyle name="SAPLocked" xfId="225"/>
    <cellStyle name="SAPLocked 2" xfId="226"/>
    <cellStyle name="SAPOutput" xfId="227"/>
    <cellStyle name="SAPOutput 2" xfId="228"/>
    <cellStyle name="SAPSpace" xfId="229"/>
    <cellStyle name="SAPSpace 2" xfId="230"/>
    <cellStyle name="SAPText" xfId="231"/>
    <cellStyle name="SAPText 2" xfId="232"/>
    <cellStyle name="SAPUnLocked" xfId="233"/>
    <cellStyle name="SAPUnLocked 2" xfId="234"/>
    <cellStyle name="Sheet Title" xfId="235"/>
    <cellStyle name="Style 1" xfId="236"/>
    <cellStyle name="Style 1 2" xfId="237"/>
    <cellStyle name="Style 1_29(d) - Gas extensions -tariffs" xfId="238"/>
    <cellStyle name="Style2" xfId="239"/>
    <cellStyle name="Style3" xfId="240"/>
    <cellStyle name="Style4" xfId="241"/>
    <cellStyle name="Style4 2" xfId="242"/>
    <cellStyle name="Style4_29(d) - Gas extensions -tariffs" xfId="243"/>
    <cellStyle name="Style5" xfId="244"/>
    <cellStyle name="Style5 2" xfId="245"/>
    <cellStyle name="Style5_29(d) - Gas extensions -tariffs" xfId="246"/>
    <cellStyle name="Table Head Green" xfId="247"/>
    <cellStyle name="Table Head_pldt" xfId="248"/>
    <cellStyle name="Table Source" xfId="249"/>
    <cellStyle name="Table Units" xfId="250"/>
    <cellStyle name="Text" xfId="251"/>
    <cellStyle name="Text 2" xfId="252"/>
    <cellStyle name="Text 3" xfId="253"/>
    <cellStyle name="Text Head 1" xfId="254"/>
    <cellStyle name="Text Head 2" xfId="255"/>
    <cellStyle name="Text Indent 2" xfId="256"/>
    <cellStyle name="Theirs" xfId="257"/>
    <cellStyle name="Title 2" xfId="258"/>
    <cellStyle name="TOC 1" xfId="259"/>
    <cellStyle name="TOC 2" xfId="260"/>
    <cellStyle name="TOC 3" xfId="261"/>
    <cellStyle name="Total 2" xfId="262"/>
    <cellStyle name="Warning Text 2" xfId="263"/>
    <cellStyle name="year" xfId="264"/>
    <cellStyle name="year 2" xfId="265"/>
    <cellStyle name="year_29(d) - Gas extensions -tariffs" xfId="266"/>
  </cellStyles>
  <dxfs count="0"/>
  <tableStyles count="0" defaultTableStyle="TableStyleMedium2" defaultPivotStyle="PivotStyleLight16"/>
  <colors>
    <mruColors>
      <color rgb="FFFF9933"/>
      <color rgb="FF238B45"/>
      <color rgb="FF800026"/>
      <color rgb="FFFCC0C0"/>
      <color rgb="FFE7E1EF"/>
      <color rgb="FF74C476"/>
      <color rgb="FFA1D99B"/>
      <color rgb="FF604A7B"/>
      <color rgb="FF3C967A"/>
      <color rgb="FFBD002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55" Type="http://schemas.openxmlformats.org/officeDocument/2006/relationships/externalLink" Target="externalLinks/externalLink39.xml"/><Relationship Id="rId63" Type="http://schemas.openxmlformats.org/officeDocument/2006/relationships/externalLink" Target="externalLinks/externalLink47.xml"/><Relationship Id="rId68" Type="http://schemas.openxmlformats.org/officeDocument/2006/relationships/externalLink" Target="externalLinks/externalLink52.xml"/><Relationship Id="rId7" Type="http://schemas.openxmlformats.org/officeDocument/2006/relationships/worksheet" Target="worksheets/sheet7.xml"/><Relationship Id="rId71" Type="http://schemas.openxmlformats.org/officeDocument/2006/relationships/externalLink" Target="externalLinks/externalLink5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externalLink" Target="externalLinks/externalLink37.xml"/><Relationship Id="rId58" Type="http://schemas.openxmlformats.org/officeDocument/2006/relationships/externalLink" Target="externalLinks/externalLink42.xml"/><Relationship Id="rId66" Type="http://schemas.openxmlformats.org/officeDocument/2006/relationships/externalLink" Target="externalLinks/externalLink50.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57" Type="http://schemas.openxmlformats.org/officeDocument/2006/relationships/externalLink" Target="externalLinks/externalLink41.xml"/><Relationship Id="rId61" Type="http://schemas.openxmlformats.org/officeDocument/2006/relationships/externalLink" Target="externalLinks/externalLink45.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60" Type="http://schemas.openxmlformats.org/officeDocument/2006/relationships/externalLink" Target="externalLinks/externalLink44.xml"/><Relationship Id="rId65" Type="http://schemas.openxmlformats.org/officeDocument/2006/relationships/externalLink" Target="externalLinks/externalLink49.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externalLink" Target="externalLinks/externalLink40.xml"/><Relationship Id="rId64" Type="http://schemas.openxmlformats.org/officeDocument/2006/relationships/externalLink" Target="externalLinks/externalLink48.xml"/><Relationship Id="rId69" Type="http://schemas.openxmlformats.org/officeDocument/2006/relationships/externalLink" Target="externalLinks/externalLink53.xml"/><Relationship Id="rId8" Type="http://schemas.openxmlformats.org/officeDocument/2006/relationships/worksheet" Target="worksheets/sheet8.xml"/><Relationship Id="rId51" Type="http://schemas.openxmlformats.org/officeDocument/2006/relationships/externalLink" Target="externalLinks/externalLink35.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59" Type="http://schemas.openxmlformats.org/officeDocument/2006/relationships/externalLink" Target="externalLinks/externalLink43.xml"/><Relationship Id="rId67" Type="http://schemas.openxmlformats.org/officeDocument/2006/relationships/externalLink" Target="externalLinks/externalLink51.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54" Type="http://schemas.openxmlformats.org/officeDocument/2006/relationships/externalLink" Target="externalLinks/externalLink38.xml"/><Relationship Id="rId62" Type="http://schemas.openxmlformats.org/officeDocument/2006/relationships/externalLink" Target="externalLinks/externalLink46.xml"/><Relationship Id="rId70" Type="http://schemas.openxmlformats.org/officeDocument/2006/relationships/externalLink" Target="externalLinks/externalLink54.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scatterChart>
        <c:scatterStyle val="lineMarker"/>
        <c:varyColors val="0"/>
        <c:ser>
          <c:idx val="0"/>
          <c:order val="0"/>
          <c:spPr>
            <a:ln w="28575">
              <a:noFill/>
            </a:ln>
          </c:spPr>
          <c:marker>
            <c:symbol val="square"/>
            <c:size val="9"/>
            <c:spPr>
              <a:ln>
                <a:solidFill>
                  <a:schemeClr val="tx1"/>
                </a:solidFill>
              </a:ln>
            </c:spPr>
          </c:marker>
          <c:dPt>
            <c:idx val="0"/>
            <c:marker>
              <c:spPr>
                <a:solidFill>
                  <a:srgbClr val="FCC0C0"/>
                </a:solidFill>
                <a:ln>
                  <a:solidFill>
                    <a:schemeClr val="tx1"/>
                  </a:solidFill>
                </a:ln>
              </c:spPr>
            </c:marker>
            <c:bubble3D val="0"/>
          </c:dPt>
          <c:dPt>
            <c:idx val="1"/>
            <c:marker>
              <c:spPr>
                <a:solidFill>
                  <a:srgbClr val="558ED5"/>
                </a:solidFill>
                <a:ln>
                  <a:solidFill>
                    <a:schemeClr val="tx1"/>
                  </a:solidFill>
                </a:ln>
              </c:spPr>
            </c:marker>
            <c:bubble3D val="0"/>
          </c:dPt>
          <c:dPt>
            <c:idx val="2"/>
            <c:marker>
              <c:spPr>
                <a:solidFill>
                  <a:srgbClr val="A1D99B"/>
                </a:solidFill>
                <a:ln>
                  <a:solidFill>
                    <a:schemeClr val="tx1"/>
                  </a:solidFill>
                </a:ln>
              </c:spPr>
            </c:marker>
            <c:bubble3D val="0"/>
          </c:dPt>
          <c:dPt>
            <c:idx val="3"/>
            <c:marker>
              <c:spPr>
                <a:solidFill>
                  <a:srgbClr val="558ED5"/>
                </a:solidFill>
                <a:ln>
                  <a:solidFill>
                    <a:schemeClr val="tx1"/>
                  </a:solidFill>
                </a:ln>
              </c:spPr>
            </c:marker>
            <c:bubble3D val="0"/>
          </c:dPt>
          <c:dPt>
            <c:idx val="4"/>
            <c:marker>
              <c:spPr>
                <a:solidFill>
                  <a:srgbClr val="BD0026"/>
                </a:solidFill>
                <a:ln>
                  <a:solidFill>
                    <a:schemeClr val="tx1"/>
                  </a:solidFill>
                </a:ln>
              </c:spPr>
            </c:marker>
            <c:bubble3D val="0"/>
          </c:dPt>
          <c:dPt>
            <c:idx val="5"/>
            <c:marker>
              <c:spPr>
                <a:solidFill>
                  <a:srgbClr val="C00000"/>
                </a:solidFill>
                <a:ln>
                  <a:solidFill>
                    <a:schemeClr val="tx1"/>
                  </a:solidFill>
                </a:ln>
              </c:spPr>
            </c:marker>
            <c:bubble3D val="0"/>
          </c:dPt>
          <c:dPt>
            <c:idx val="6"/>
            <c:marker>
              <c:spPr>
                <a:solidFill>
                  <a:srgbClr val="558ED5"/>
                </a:solidFill>
                <a:ln>
                  <a:solidFill>
                    <a:schemeClr val="tx1"/>
                  </a:solidFill>
                </a:ln>
              </c:spPr>
            </c:marker>
            <c:bubble3D val="0"/>
          </c:dPt>
          <c:dPt>
            <c:idx val="7"/>
            <c:marker>
              <c:spPr>
                <a:solidFill>
                  <a:srgbClr val="A1D99B"/>
                </a:solidFill>
                <a:ln>
                  <a:solidFill>
                    <a:schemeClr val="tx1"/>
                  </a:solidFill>
                </a:ln>
              </c:spPr>
            </c:marker>
            <c:bubble3D val="0"/>
          </c:dPt>
          <c:dPt>
            <c:idx val="8"/>
            <c:marker>
              <c:spPr>
                <a:solidFill>
                  <a:srgbClr val="A1D99B"/>
                </a:solidFill>
                <a:ln>
                  <a:solidFill>
                    <a:schemeClr val="tx1"/>
                  </a:solidFill>
                </a:ln>
              </c:spPr>
            </c:marker>
            <c:bubble3D val="0"/>
          </c:dPt>
          <c:dPt>
            <c:idx val="9"/>
            <c:marker>
              <c:spPr>
                <a:solidFill>
                  <a:srgbClr val="FD8D3C"/>
                </a:solidFill>
                <a:ln>
                  <a:solidFill>
                    <a:schemeClr val="tx1"/>
                  </a:solidFill>
                </a:ln>
              </c:spPr>
            </c:marker>
            <c:bubble3D val="0"/>
          </c:dPt>
          <c:dPt>
            <c:idx val="10"/>
            <c:marker>
              <c:spPr>
                <a:solidFill>
                  <a:srgbClr val="A1D99B"/>
                </a:solidFill>
                <a:ln>
                  <a:solidFill>
                    <a:schemeClr val="tx1"/>
                  </a:solidFill>
                </a:ln>
              </c:spPr>
            </c:marker>
            <c:bubble3D val="0"/>
          </c:dPt>
          <c:dPt>
            <c:idx val="11"/>
            <c:marker>
              <c:spPr>
                <a:solidFill>
                  <a:schemeClr val="accent4">
                    <a:lumMod val="60000"/>
                    <a:lumOff val="40000"/>
                  </a:schemeClr>
                </a:solidFill>
                <a:ln>
                  <a:solidFill>
                    <a:schemeClr val="tx1"/>
                  </a:solidFill>
                </a:ln>
              </c:spPr>
            </c:marker>
            <c:bubble3D val="0"/>
          </c:dPt>
          <c:dPt>
            <c:idx val="12"/>
            <c:marker>
              <c:spPr>
                <a:solidFill>
                  <a:srgbClr val="A1D99B"/>
                </a:solidFill>
                <a:ln>
                  <a:solidFill>
                    <a:schemeClr val="tx1"/>
                  </a:solidFill>
                </a:ln>
              </c:spPr>
            </c:marker>
            <c:bubble3D val="0"/>
          </c:dPt>
          <c:dLbls>
            <c:dLbl>
              <c:idx val="0"/>
              <c:layout/>
              <c:tx>
                <c:rich>
                  <a:bodyPr/>
                  <a:lstStyle/>
                  <a:p>
                    <a:r>
                      <a:rPr lang="en-AU" b="1"/>
                      <a:t>ACT</a:t>
                    </a:r>
                    <a:endParaRPr lang="en-AU"/>
                  </a:p>
                </c:rich>
              </c:tx>
              <c:dLblPos val="r"/>
              <c:showLegendKey val="0"/>
              <c:showVal val="1"/>
              <c:showCatName val="0"/>
              <c:showSerName val="0"/>
              <c:showPercent val="0"/>
              <c:showBubbleSize val="0"/>
            </c:dLbl>
            <c:dLbl>
              <c:idx val="1"/>
              <c:layout/>
              <c:tx>
                <c:rich>
                  <a:bodyPr/>
                  <a:lstStyle/>
                  <a:p>
                    <a:r>
                      <a:rPr lang="en-AU" b="1"/>
                      <a:t>AGD</a:t>
                    </a:r>
                    <a:endParaRPr lang="en-AU"/>
                  </a:p>
                </c:rich>
              </c:tx>
              <c:dLblPos val="r"/>
              <c:showLegendKey val="0"/>
              <c:showVal val="1"/>
              <c:showCatName val="0"/>
              <c:showSerName val="0"/>
              <c:showPercent val="0"/>
              <c:showBubbleSize val="0"/>
            </c:dLbl>
            <c:dLbl>
              <c:idx val="2"/>
              <c:layout/>
              <c:tx>
                <c:rich>
                  <a:bodyPr/>
                  <a:lstStyle/>
                  <a:p>
                    <a:r>
                      <a:rPr lang="en-AU" b="1"/>
                      <a:t>CIT</a:t>
                    </a:r>
                    <a:endParaRPr lang="en-AU"/>
                  </a:p>
                </c:rich>
              </c:tx>
              <c:dLblPos val="r"/>
              <c:showLegendKey val="0"/>
              <c:showVal val="1"/>
              <c:showCatName val="0"/>
              <c:showSerName val="0"/>
              <c:showPercent val="0"/>
              <c:showBubbleSize val="0"/>
            </c:dLbl>
            <c:dLbl>
              <c:idx val="3"/>
              <c:layout/>
              <c:tx>
                <c:rich>
                  <a:bodyPr/>
                  <a:lstStyle/>
                  <a:p>
                    <a:r>
                      <a:rPr lang="en-AU" b="1"/>
                      <a:t>END</a:t>
                    </a:r>
                    <a:endParaRPr lang="en-AU"/>
                  </a:p>
                </c:rich>
              </c:tx>
              <c:dLblPos val="r"/>
              <c:showLegendKey val="0"/>
              <c:showVal val="1"/>
              <c:showCatName val="0"/>
              <c:showSerName val="0"/>
              <c:showPercent val="0"/>
              <c:showBubbleSize val="0"/>
            </c:dLbl>
            <c:dLbl>
              <c:idx val="4"/>
              <c:layout/>
              <c:tx>
                <c:rich>
                  <a:bodyPr/>
                  <a:lstStyle/>
                  <a:p>
                    <a:r>
                      <a:rPr lang="en-AU" b="1"/>
                      <a:t>ENX</a:t>
                    </a:r>
                    <a:endParaRPr lang="en-AU"/>
                  </a:p>
                </c:rich>
              </c:tx>
              <c:dLblPos val="r"/>
              <c:showLegendKey val="0"/>
              <c:showVal val="1"/>
              <c:showCatName val="0"/>
              <c:showSerName val="0"/>
              <c:showPercent val="0"/>
              <c:showBubbleSize val="0"/>
            </c:dLbl>
            <c:dLbl>
              <c:idx val="5"/>
              <c:layout/>
              <c:tx>
                <c:rich>
                  <a:bodyPr/>
                  <a:lstStyle/>
                  <a:p>
                    <a:r>
                      <a:rPr lang="en-AU" b="1"/>
                      <a:t>ERG</a:t>
                    </a:r>
                    <a:endParaRPr lang="en-AU"/>
                  </a:p>
                </c:rich>
              </c:tx>
              <c:dLblPos val="r"/>
              <c:showLegendKey val="0"/>
              <c:showVal val="1"/>
              <c:showCatName val="0"/>
              <c:showSerName val="0"/>
              <c:showPercent val="0"/>
              <c:showBubbleSize val="0"/>
            </c:dLbl>
            <c:dLbl>
              <c:idx val="6"/>
              <c:layout/>
              <c:tx>
                <c:rich>
                  <a:bodyPr/>
                  <a:lstStyle/>
                  <a:p>
                    <a:r>
                      <a:rPr lang="en-AU" b="1"/>
                      <a:t>ESS</a:t>
                    </a:r>
                    <a:endParaRPr lang="en-AU"/>
                  </a:p>
                </c:rich>
              </c:tx>
              <c:dLblPos val="r"/>
              <c:showLegendKey val="0"/>
              <c:showVal val="1"/>
              <c:showCatName val="0"/>
              <c:showSerName val="0"/>
              <c:showPercent val="0"/>
              <c:showBubbleSize val="0"/>
            </c:dLbl>
            <c:dLbl>
              <c:idx val="7"/>
              <c:layout/>
              <c:tx>
                <c:rich>
                  <a:bodyPr/>
                  <a:lstStyle/>
                  <a:p>
                    <a:r>
                      <a:rPr lang="en-AU" b="1"/>
                      <a:t>JEN</a:t>
                    </a:r>
                    <a:endParaRPr lang="en-AU"/>
                  </a:p>
                </c:rich>
              </c:tx>
              <c:dLblPos val="r"/>
              <c:showLegendKey val="0"/>
              <c:showVal val="1"/>
              <c:showCatName val="0"/>
              <c:showSerName val="0"/>
              <c:showPercent val="0"/>
              <c:showBubbleSize val="0"/>
            </c:dLbl>
            <c:dLbl>
              <c:idx val="8"/>
              <c:layout/>
              <c:tx>
                <c:rich>
                  <a:bodyPr/>
                  <a:lstStyle/>
                  <a:p>
                    <a:r>
                      <a:rPr lang="en-AU" b="1"/>
                      <a:t>PCR</a:t>
                    </a:r>
                    <a:endParaRPr lang="en-AU"/>
                  </a:p>
                </c:rich>
              </c:tx>
              <c:dLblPos val="r"/>
              <c:showLegendKey val="0"/>
              <c:showVal val="1"/>
              <c:showCatName val="0"/>
              <c:showSerName val="0"/>
              <c:showPercent val="0"/>
              <c:showBubbleSize val="0"/>
            </c:dLbl>
            <c:dLbl>
              <c:idx val="9"/>
              <c:layout/>
              <c:tx>
                <c:rich>
                  <a:bodyPr/>
                  <a:lstStyle/>
                  <a:p>
                    <a:r>
                      <a:rPr lang="en-AU" b="1"/>
                      <a:t>SAPN</a:t>
                    </a:r>
                    <a:endParaRPr lang="en-AU"/>
                  </a:p>
                </c:rich>
              </c:tx>
              <c:dLblPos val="t"/>
              <c:showLegendKey val="0"/>
              <c:showVal val="1"/>
              <c:showCatName val="0"/>
              <c:showSerName val="0"/>
              <c:showPercent val="0"/>
              <c:showBubbleSize val="0"/>
            </c:dLbl>
            <c:dLbl>
              <c:idx val="10"/>
              <c:layout/>
              <c:tx>
                <c:rich>
                  <a:bodyPr/>
                  <a:lstStyle/>
                  <a:p>
                    <a:r>
                      <a:rPr lang="en-AU" b="1"/>
                      <a:t>AND</a:t>
                    </a:r>
                    <a:endParaRPr lang="en-AU"/>
                  </a:p>
                </c:rich>
              </c:tx>
              <c:dLblPos val="r"/>
              <c:showLegendKey val="0"/>
              <c:showVal val="1"/>
              <c:showCatName val="0"/>
              <c:showSerName val="0"/>
              <c:showPercent val="0"/>
              <c:showBubbleSize val="0"/>
            </c:dLbl>
            <c:dLbl>
              <c:idx val="11"/>
              <c:layout/>
              <c:tx>
                <c:rich>
                  <a:bodyPr/>
                  <a:lstStyle/>
                  <a:p>
                    <a:r>
                      <a:rPr lang="en-AU" b="1"/>
                      <a:t>TND</a:t>
                    </a:r>
                    <a:endParaRPr lang="en-AU"/>
                  </a:p>
                </c:rich>
              </c:tx>
              <c:dLblPos val="r"/>
              <c:showLegendKey val="0"/>
              <c:showVal val="1"/>
              <c:showCatName val="0"/>
              <c:showSerName val="0"/>
              <c:showPercent val="0"/>
              <c:showBubbleSize val="0"/>
            </c:dLbl>
            <c:dLbl>
              <c:idx val="12"/>
              <c:layout/>
              <c:tx>
                <c:rich>
                  <a:bodyPr/>
                  <a:lstStyle/>
                  <a:p>
                    <a:r>
                      <a:rPr lang="en-AU" b="1"/>
                      <a:t>UED</a:t>
                    </a:r>
                    <a:endParaRPr lang="en-AU"/>
                  </a:p>
                </c:rich>
              </c:tx>
              <c:dLblPos val="r"/>
              <c:showLegendKey val="0"/>
              <c:showVal val="1"/>
              <c:showCatName val="0"/>
              <c:showSerName val="0"/>
              <c:showPercent val="0"/>
              <c:showBubbleSize val="0"/>
            </c:dLbl>
            <c:txPr>
              <a:bodyPr/>
              <a:lstStyle/>
              <a:p>
                <a:pPr>
                  <a:defRPr sz="1200" b="1"/>
                </a:pPr>
                <a:endParaRPr lang="en-US"/>
              </a:p>
            </c:txPr>
            <c:dLblPos val="r"/>
            <c:showLegendKey val="0"/>
            <c:showVal val="1"/>
            <c:showCatName val="0"/>
            <c:showSerName val="0"/>
            <c:showPercent val="0"/>
            <c:showBubbleSize val="0"/>
            <c:showLeaderLines val="0"/>
          </c:dLbls>
          <c:xVal>
            <c:numRef>
              <c:f>Analysis!$L$3:$L$15</c:f>
              <c:numCache>
                <c:formatCode>#,##0.00</c:formatCode>
                <c:ptCount val="13"/>
                <c:pt idx="0">
                  <c:v>44.032043856129668</c:v>
                </c:pt>
                <c:pt idx="1">
                  <c:v>43.85116936254196</c:v>
                </c:pt>
                <c:pt idx="2">
                  <c:v>103.17487904768937</c:v>
                </c:pt>
                <c:pt idx="3">
                  <c:v>33.543764948340595</c:v>
                </c:pt>
                <c:pt idx="4">
                  <c:v>32.164931741978052</c:v>
                </c:pt>
                <c:pt idx="5">
                  <c:v>5.097219926915761</c:v>
                </c:pt>
                <c:pt idx="6">
                  <c:v>4.7326093149031276</c:v>
                </c:pt>
                <c:pt idx="7">
                  <c:v>72.280758328830345</c:v>
                </c:pt>
                <c:pt idx="8">
                  <c:v>11.450519570884238</c:v>
                </c:pt>
                <c:pt idx="9">
                  <c:v>10.470859357299215</c:v>
                </c:pt>
                <c:pt idx="10">
                  <c:v>18.033729499698328</c:v>
                </c:pt>
                <c:pt idx="11">
                  <c:v>13.829330883742543</c:v>
                </c:pt>
                <c:pt idx="12">
                  <c:v>65.062713156514363</c:v>
                </c:pt>
              </c:numCache>
            </c:numRef>
          </c:xVal>
          <c:yVal>
            <c:numRef>
              <c:f>Analysis!$M$3:$M$15</c:f>
              <c:numCache>
                <c:formatCode>"$"#,##0</c:formatCode>
                <c:ptCount val="13"/>
                <c:pt idx="0">
                  <c:v>223870.64193900043</c:v>
                </c:pt>
                <c:pt idx="1">
                  <c:v>289271.23266038566</c:v>
                </c:pt>
                <c:pt idx="2">
                  <c:v>135478.98532742448</c:v>
                </c:pt>
                <c:pt idx="3">
                  <c:v>188351.52891389487</c:v>
                </c:pt>
                <c:pt idx="4">
                  <c:v>216129.21516908286</c:v>
                </c:pt>
                <c:pt idx="5">
                  <c:v>318892.31991800532</c:v>
                </c:pt>
                <c:pt idx="6">
                  <c:v>362735.02658007445</c:v>
                </c:pt>
                <c:pt idx="7">
                  <c:v>187027.27503836417</c:v>
                </c:pt>
                <c:pt idx="8">
                  <c:v>179423.18980633008</c:v>
                </c:pt>
                <c:pt idx="9">
                  <c:v>210158.12170591138</c:v>
                </c:pt>
                <c:pt idx="10">
                  <c:v>254069.75948209508</c:v>
                </c:pt>
                <c:pt idx="11">
                  <c:v>208176.52940954396</c:v>
                </c:pt>
                <c:pt idx="12">
                  <c:v>164131.73615974816</c:v>
                </c:pt>
              </c:numCache>
            </c:numRef>
          </c:yVal>
          <c:smooth val="0"/>
        </c:ser>
        <c:dLbls>
          <c:dLblPos val="r"/>
          <c:showLegendKey val="0"/>
          <c:showVal val="1"/>
          <c:showCatName val="0"/>
          <c:showSerName val="0"/>
          <c:showPercent val="0"/>
          <c:showBubbleSize val="0"/>
        </c:dLbls>
        <c:axId val="99316864"/>
        <c:axId val="99318400"/>
      </c:scatterChart>
      <c:valAx>
        <c:axId val="99316864"/>
        <c:scaling>
          <c:orientation val="minMax"/>
        </c:scaling>
        <c:delete val="0"/>
        <c:axPos val="b"/>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a:lstStyle/>
              <a:p>
                <a:pPr>
                  <a:defRPr sz="1400" b="1">
                    <a:latin typeface="+mn-lt"/>
                    <a:cs typeface="Arial" panose="020B0604020202020204" pitchFamily="34" charset="0"/>
                  </a:defRPr>
                </a:pPr>
                <a:r>
                  <a:rPr lang="en-AU" b="1"/>
                  <a:t>Customer</a:t>
                </a:r>
                <a:r>
                  <a:rPr lang="en-AU" b="1" baseline="0"/>
                  <a:t> density (per km)</a:t>
                </a:r>
                <a:endParaRPr lang="en-AU" b="1"/>
              </a:p>
            </c:rich>
          </c:tx>
          <c:layout/>
          <c:overlay val="0"/>
        </c:title>
        <c:numFmt formatCode="#,##0" sourceLinked="0"/>
        <c:majorTickMark val="out"/>
        <c:minorTickMark val="none"/>
        <c:tickLblPos val="nextTo"/>
        <c:txPr>
          <a:bodyPr/>
          <a:lstStyle/>
          <a:p>
            <a:pPr>
              <a:defRPr sz="1200" b="1"/>
            </a:pPr>
            <a:endParaRPr lang="en-US"/>
          </a:p>
        </c:txPr>
        <c:crossAx val="99318400"/>
        <c:crosses val="autoZero"/>
        <c:crossBetween val="midCat"/>
        <c:majorUnit val="10"/>
      </c:valAx>
      <c:valAx>
        <c:axId val="99318400"/>
        <c:scaling>
          <c:orientation val="minMax"/>
        </c:scaling>
        <c:delete val="0"/>
        <c:axPos val="l"/>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rot="-5400000" vert="horz"/>
              <a:lstStyle/>
              <a:p>
                <a:pPr>
                  <a:defRPr sz="1400" b="1">
                    <a:latin typeface="+mn-lt"/>
                    <a:cs typeface="Arial" panose="020B0604020202020204" pitchFamily="34" charset="0"/>
                  </a:defRPr>
                </a:pPr>
                <a:r>
                  <a:rPr lang="en-AU" b="1"/>
                  <a:t>Total cost per MW</a:t>
                </a:r>
                <a:r>
                  <a:rPr lang="en-AU" b="1" baseline="0"/>
                  <a:t> of maximum demand</a:t>
                </a:r>
                <a:endParaRPr lang="en-AU" b="1"/>
              </a:p>
            </c:rich>
          </c:tx>
          <c:layout>
            <c:manualLayout>
              <c:xMode val="edge"/>
              <c:yMode val="edge"/>
              <c:x val="9.9037048117261196E-3"/>
              <c:y val="0.12582467224078625"/>
            </c:manualLayout>
          </c:layout>
          <c:overlay val="0"/>
        </c:title>
        <c:numFmt formatCode="&quot;$&quot;#,##0" sourceLinked="1"/>
        <c:majorTickMark val="out"/>
        <c:minorTickMark val="none"/>
        <c:tickLblPos val="nextTo"/>
        <c:txPr>
          <a:bodyPr/>
          <a:lstStyle/>
          <a:p>
            <a:pPr>
              <a:defRPr sz="1200" b="1"/>
            </a:pPr>
            <a:endParaRPr lang="en-US"/>
          </a:p>
        </c:txPr>
        <c:crossAx val="9931686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68302618086718"/>
          <c:y val="3.7448969862505802E-2"/>
          <c:w val="0.89184056294038516"/>
          <c:h val="0.67855747551841517"/>
        </c:manualLayout>
      </c:layout>
      <c:barChart>
        <c:barDir val="col"/>
        <c:grouping val="clustered"/>
        <c:varyColors val="0"/>
        <c:ser>
          <c:idx val="0"/>
          <c:order val="0"/>
          <c:tx>
            <c:strRef>
              <c:f>Analysis!$AD$2</c:f>
              <c:strCache>
                <c:ptCount val="1"/>
                <c:pt idx="0">
                  <c:v>SAIFI (5yr avg)</c:v>
                </c:pt>
              </c:strCache>
            </c:strRef>
          </c:tx>
          <c:spPr>
            <a:ln w="3175">
              <a:solidFill>
                <a:schemeClr val="tx1"/>
              </a:solidFill>
            </a:ln>
          </c:spPr>
          <c:invertIfNegative val="0"/>
          <c:dPt>
            <c:idx val="0"/>
            <c:invertIfNegative val="0"/>
            <c:bubble3D val="0"/>
            <c:spPr>
              <a:solidFill>
                <a:srgbClr val="FCC0C0"/>
              </a:solidFill>
              <a:ln w="3175">
                <a:solidFill>
                  <a:schemeClr val="tx1"/>
                </a:solidFill>
              </a:ln>
            </c:spPr>
          </c:dPt>
          <c:dPt>
            <c:idx val="1"/>
            <c:invertIfNegative val="0"/>
            <c:bubble3D val="0"/>
            <c:spPr>
              <a:solidFill>
                <a:srgbClr val="9ECAE1"/>
              </a:solidFill>
              <a:ln w="3175">
                <a:solidFill>
                  <a:schemeClr val="tx1"/>
                </a:solidFill>
              </a:ln>
            </c:spPr>
          </c:dPt>
          <c:dPt>
            <c:idx val="2"/>
            <c:invertIfNegative val="0"/>
            <c:bubble3D val="0"/>
            <c:spPr>
              <a:solidFill>
                <a:srgbClr val="A1D99B"/>
              </a:solidFill>
              <a:ln w="3175">
                <a:solidFill>
                  <a:schemeClr val="tx1"/>
                </a:solidFill>
              </a:ln>
            </c:spPr>
          </c:dPt>
          <c:dPt>
            <c:idx val="3"/>
            <c:invertIfNegative val="0"/>
            <c:bubble3D val="0"/>
            <c:spPr>
              <a:solidFill>
                <a:srgbClr val="DEEBF7"/>
              </a:solidFill>
              <a:ln w="3175">
                <a:solidFill>
                  <a:schemeClr val="tx1"/>
                </a:solidFill>
              </a:ln>
            </c:spPr>
          </c:dPt>
          <c:dPt>
            <c:idx val="4"/>
            <c:invertIfNegative val="0"/>
            <c:bubble3D val="0"/>
            <c:spPr>
              <a:solidFill>
                <a:srgbClr val="BD0026"/>
              </a:solidFill>
              <a:ln w="3175">
                <a:solidFill>
                  <a:schemeClr val="tx1"/>
                </a:solidFill>
              </a:ln>
            </c:spPr>
          </c:dPt>
          <c:dPt>
            <c:idx val="5"/>
            <c:invertIfNegative val="0"/>
            <c:bubble3D val="0"/>
            <c:spPr>
              <a:solidFill>
                <a:srgbClr val="800026"/>
              </a:solidFill>
              <a:ln w="3175">
                <a:solidFill>
                  <a:schemeClr val="tx1"/>
                </a:solidFill>
              </a:ln>
            </c:spPr>
          </c:dPt>
          <c:dPt>
            <c:idx val="6"/>
            <c:invertIfNegative val="0"/>
            <c:bubble3D val="0"/>
            <c:spPr>
              <a:solidFill>
                <a:srgbClr val="C6DBEF"/>
              </a:solidFill>
              <a:ln w="3175">
                <a:solidFill>
                  <a:schemeClr val="tx1"/>
                </a:solidFill>
              </a:ln>
            </c:spPr>
          </c:dPt>
          <c:dPt>
            <c:idx val="7"/>
            <c:invertIfNegative val="0"/>
            <c:bubble3D val="0"/>
            <c:spPr>
              <a:solidFill>
                <a:srgbClr val="41AB5D"/>
              </a:solidFill>
              <a:ln w="3175">
                <a:solidFill>
                  <a:schemeClr val="tx1"/>
                </a:solidFill>
              </a:ln>
            </c:spPr>
          </c:dPt>
          <c:dPt>
            <c:idx val="8"/>
            <c:invertIfNegative val="0"/>
            <c:bubble3D val="0"/>
            <c:spPr>
              <a:solidFill>
                <a:srgbClr val="74C476"/>
              </a:solidFill>
              <a:ln w="3175">
                <a:solidFill>
                  <a:schemeClr val="tx1"/>
                </a:solidFill>
              </a:ln>
            </c:spPr>
          </c:dPt>
          <c:dPt>
            <c:idx val="9"/>
            <c:invertIfNegative val="0"/>
            <c:bubble3D val="0"/>
            <c:spPr>
              <a:solidFill>
                <a:srgbClr val="FD8D3C"/>
              </a:solidFill>
              <a:ln w="3175">
                <a:solidFill>
                  <a:schemeClr val="tx1"/>
                </a:solidFill>
              </a:ln>
            </c:spPr>
          </c:dPt>
          <c:dPt>
            <c:idx val="10"/>
            <c:invertIfNegative val="0"/>
            <c:bubble3D val="0"/>
            <c:spPr>
              <a:solidFill>
                <a:srgbClr val="238B45"/>
              </a:solidFill>
              <a:ln w="3175">
                <a:solidFill>
                  <a:schemeClr val="tx1"/>
                </a:solidFill>
              </a:ln>
            </c:spPr>
          </c:dPt>
          <c:dPt>
            <c:idx val="11"/>
            <c:invertIfNegative val="0"/>
            <c:bubble3D val="0"/>
            <c:spPr>
              <a:solidFill>
                <a:srgbClr val="E7E1EF"/>
              </a:solidFill>
              <a:ln w="3175">
                <a:solidFill>
                  <a:schemeClr val="tx1"/>
                </a:solidFill>
              </a:ln>
            </c:spPr>
          </c:dPt>
          <c:dPt>
            <c:idx val="12"/>
            <c:invertIfNegative val="0"/>
            <c:bubble3D val="0"/>
            <c:spPr>
              <a:solidFill>
                <a:srgbClr val="006D2C"/>
              </a:solidFill>
              <a:ln w="3175">
                <a:solidFill>
                  <a:schemeClr val="tx1"/>
                </a:solidFill>
              </a:ln>
            </c:spPr>
          </c:dPt>
          <c:cat>
            <c:strRef>
              <c:f>Analysis!$A$3:$A$15</c:f>
              <c:strCache>
                <c:ptCount val="13"/>
                <c:pt idx="0">
                  <c:v>ActewAGL</c:v>
                </c:pt>
                <c:pt idx="1">
                  <c:v>Ausgrid</c:v>
                </c:pt>
                <c:pt idx="2">
                  <c:v>CitiPower</c:v>
                </c:pt>
                <c:pt idx="3">
                  <c:v>Endeavour Energy</c:v>
                </c:pt>
                <c:pt idx="4">
                  <c:v>Energex</c:v>
                </c:pt>
                <c:pt idx="5">
                  <c:v>Ergon Energy</c:v>
                </c:pt>
                <c:pt idx="6">
                  <c:v>Essential Energy</c:v>
                </c:pt>
                <c:pt idx="7">
                  <c:v>Jemena</c:v>
                </c:pt>
                <c:pt idx="8">
                  <c:v>Powercor</c:v>
                </c:pt>
                <c:pt idx="9">
                  <c:v>SA Power Networks</c:v>
                </c:pt>
                <c:pt idx="10">
                  <c:v>AusNet Services</c:v>
                </c:pt>
                <c:pt idx="11">
                  <c:v>TasNetworks</c:v>
                </c:pt>
                <c:pt idx="12">
                  <c:v>United Energy</c:v>
                </c:pt>
              </c:strCache>
            </c:strRef>
          </c:cat>
          <c:val>
            <c:numRef>
              <c:f>Analysis!$AD$3:$AD$15</c:f>
              <c:numCache>
                <c:formatCode>_-* #,##0.0_-;\-* #,##0.0_-;_-* "-"??_-;_-@_-</c:formatCode>
                <c:ptCount val="13"/>
                <c:pt idx="0">
                  <c:v>0.59950230425708495</c:v>
                </c:pt>
                <c:pt idx="1">
                  <c:v>0.7656896945860191</c:v>
                </c:pt>
                <c:pt idx="2">
                  <c:v>0.41393842314852058</c:v>
                </c:pt>
                <c:pt idx="3">
                  <c:v>1.0351155301360775</c:v>
                </c:pt>
                <c:pt idx="4">
                  <c:v>0.88021360804404281</c:v>
                </c:pt>
                <c:pt idx="5">
                  <c:v>2.49254</c:v>
                </c:pt>
                <c:pt idx="6">
                  <c:v>1.8858405016851578</c:v>
                </c:pt>
                <c:pt idx="7">
                  <c:v>0.92823654229427688</c:v>
                </c:pt>
                <c:pt idx="8">
                  <c:v>1.418119257031778</c:v>
                </c:pt>
                <c:pt idx="9">
                  <c:v>1.2807999999999999</c:v>
                </c:pt>
                <c:pt idx="10">
                  <c:v>1.7546149734255114</c:v>
                </c:pt>
                <c:pt idx="11">
                  <c:v>1.5730879786286407</c:v>
                </c:pt>
                <c:pt idx="12">
                  <c:v>0.96306813312214845</c:v>
                </c:pt>
              </c:numCache>
            </c:numRef>
          </c:val>
        </c:ser>
        <c:dLbls>
          <c:showLegendKey val="0"/>
          <c:showVal val="0"/>
          <c:showCatName val="0"/>
          <c:showSerName val="0"/>
          <c:showPercent val="0"/>
          <c:showBubbleSize val="0"/>
        </c:dLbls>
        <c:gapWidth val="25"/>
        <c:axId val="266355456"/>
        <c:axId val="266356992"/>
      </c:barChart>
      <c:catAx>
        <c:axId val="266355456"/>
        <c:scaling>
          <c:orientation val="minMax"/>
        </c:scaling>
        <c:delete val="0"/>
        <c:axPos val="b"/>
        <c:majorTickMark val="out"/>
        <c:minorTickMark val="none"/>
        <c:tickLblPos val="nextTo"/>
        <c:txPr>
          <a:bodyPr/>
          <a:lstStyle/>
          <a:p>
            <a:pPr>
              <a:defRPr b="1"/>
            </a:pPr>
            <a:endParaRPr lang="en-US"/>
          </a:p>
        </c:txPr>
        <c:crossAx val="266356992"/>
        <c:crosses val="autoZero"/>
        <c:auto val="1"/>
        <c:lblAlgn val="ctr"/>
        <c:lblOffset val="100"/>
        <c:noMultiLvlLbl val="0"/>
      </c:catAx>
      <c:valAx>
        <c:axId val="266356992"/>
        <c:scaling>
          <c:orientation val="minMax"/>
        </c:scaling>
        <c:delete val="0"/>
        <c:axPos val="l"/>
        <c:majorGridlines/>
        <c:title>
          <c:tx>
            <c:rich>
              <a:bodyPr rot="-5400000" vert="horz"/>
              <a:lstStyle/>
              <a:p>
                <a:pPr>
                  <a:defRPr sz="1200" b="1"/>
                </a:pPr>
                <a:r>
                  <a:rPr lang="en-AU" sz="1200" b="1"/>
                  <a:t>Number of interruptions</a:t>
                </a:r>
              </a:p>
            </c:rich>
          </c:tx>
          <c:layout>
            <c:manualLayout>
              <c:xMode val="edge"/>
              <c:yMode val="edge"/>
              <c:x val="8.5601934166831296E-3"/>
              <c:y val="0.17806820207236415"/>
            </c:manualLayout>
          </c:layout>
          <c:overlay val="0"/>
        </c:title>
        <c:numFmt formatCode="#,##0.0" sourceLinked="0"/>
        <c:majorTickMark val="out"/>
        <c:minorTickMark val="none"/>
        <c:tickLblPos val="nextTo"/>
        <c:txPr>
          <a:bodyPr/>
          <a:lstStyle/>
          <a:p>
            <a:pPr>
              <a:defRPr b="1"/>
            </a:pPr>
            <a:endParaRPr lang="en-US"/>
          </a:p>
        </c:txPr>
        <c:crossAx val="2663554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223735958124271"/>
          <c:y val="3.7448969862505802E-2"/>
          <c:w val="0.84528344382534104"/>
          <c:h val="0.67855747551841517"/>
        </c:manualLayout>
      </c:layout>
      <c:barChart>
        <c:barDir val="col"/>
        <c:grouping val="clustered"/>
        <c:varyColors val="0"/>
        <c:ser>
          <c:idx val="0"/>
          <c:order val="0"/>
          <c:tx>
            <c:strRef>
              <c:f>Analysis!$I$2</c:f>
              <c:strCache>
                <c:ptCount val="1"/>
                <c:pt idx="0">
                  <c:v>Circuit line length (5yr avg)</c:v>
                </c:pt>
              </c:strCache>
            </c:strRef>
          </c:tx>
          <c:spPr>
            <a:ln w="3175">
              <a:solidFill>
                <a:schemeClr val="tx1"/>
              </a:solidFill>
            </a:ln>
          </c:spPr>
          <c:invertIfNegative val="0"/>
          <c:dPt>
            <c:idx val="0"/>
            <c:invertIfNegative val="0"/>
            <c:bubble3D val="0"/>
            <c:spPr>
              <a:solidFill>
                <a:srgbClr val="FCC0C0"/>
              </a:solidFill>
              <a:ln w="3175">
                <a:solidFill>
                  <a:schemeClr val="tx1"/>
                </a:solidFill>
              </a:ln>
            </c:spPr>
          </c:dPt>
          <c:dPt>
            <c:idx val="1"/>
            <c:invertIfNegative val="0"/>
            <c:bubble3D val="0"/>
            <c:spPr>
              <a:solidFill>
                <a:srgbClr val="9ECAE1"/>
              </a:solidFill>
              <a:ln w="3175">
                <a:solidFill>
                  <a:schemeClr val="tx1"/>
                </a:solidFill>
              </a:ln>
            </c:spPr>
          </c:dPt>
          <c:dPt>
            <c:idx val="2"/>
            <c:invertIfNegative val="0"/>
            <c:bubble3D val="0"/>
            <c:spPr>
              <a:solidFill>
                <a:srgbClr val="A1D99B"/>
              </a:solidFill>
              <a:ln w="3175">
                <a:solidFill>
                  <a:schemeClr val="tx1"/>
                </a:solidFill>
              </a:ln>
            </c:spPr>
          </c:dPt>
          <c:dPt>
            <c:idx val="3"/>
            <c:invertIfNegative val="0"/>
            <c:bubble3D val="0"/>
            <c:spPr>
              <a:solidFill>
                <a:srgbClr val="DEEBF7"/>
              </a:solidFill>
              <a:ln w="3175">
                <a:solidFill>
                  <a:schemeClr val="tx1"/>
                </a:solidFill>
              </a:ln>
            </c:spPr>
          </c:dPt>
          <c:dPt>
            <c:idx val="4"/>
            <c:invertIfNegative val="0"/>
            <c:bubble3D val="0"/>
            <c:spPr>
              <a:solidFill>
                <a:srgbClr val="BD0026"/>
              </a:solidFill>
              <a:ln w="3175">
                <a:solidFill>
                  <a:schemeClr val="tx1"/>
                </a:solidFill>
              </a:ln>
            </c:spPr>
          </c:dPt>
          <c:dPt>
            <c:idx val="5"/>
            <c:invertIfNegative val="0"/>
            <c:bubble3D val="0"/>
            <c:spPr>
              <a:solidFill>
                <a:srgbClr val="800026"/>
              </a:solidFill>
              <a:ln w="3175">
                <a:solidFill>
                  <a:schemeClr val="tx1"/>
                </a:solidFill>
              </a:ln>
            </c:spPr>
          </c:dPt>
          <c:dPt>
            <c:idx val="6"/>
            <c:invertIfNegative val="0"/>
            <c:bubble3D val="0"/>
            <c:spPr>
              <a:solidFill>
                <a:srgbClr val="C6DBEF"/>
              </a:solidFill>
              <a:ln w="3175">
                <a:solidFill>
                  <a:schemeClr val="tx1"/>
                </a:solidFill>
              </a:ln>
            </c:spPr>
          </c:dPt>
          <c:dPt>
            <c:idx val="7"/>
            <c:invertIfNegative val="0"/>
            <c:bubble3D val="0"/>
            <c:spPr>
              <a:solidFill>
                <a:srgbClr val="41AB5D"/>
              </a:solidFill>
              <a:ln w="3175">
                <a:solidFill>
                  <a:schemeClr val="tx1"/>
                </a:solidFill>
              </a:ln>
            </c:spPr>
          </c:dPt>
          <c:dPt>
            <c:idx val="8"/>
            <c:invertIfNegative val="0"/>
            <c:bubble3D val="0"/>
            <c:spPr>
              <a:solidFill>
                <a:srgbClr val="74C476"/>
              </a:solidFill>
              <a:ln w="3175">
                <a:solidFill>
                  <a:schemeClr val="tx1"/>
                </a:solidFill>
              </a:ln>
            </c:spPr>
          </c:dPt>
          <c:dPt>
            <c:idx val="9"/>
            <c:invertIfNegative val="0"/>
            <c:bubble3D val="0"/>
            <c:spPr>
              <a:solidFill>
                <a:srgbClr val="FD8D3C"/>
              </a:solidFill>
              <a:ln w="3175">
                <a:solidFill>
                  <a:schemeClr val="tx1"/>
                </a:solidFill>
              </a:ln>
            </c:spPr>
          </c:dPt>
          <c:dPt>
            <c:idx val="10"/>
            <c:invertIfNegative val="0"/>
            <c:bubble3D val="0"/>
            <c:spPr>
              <a:solidFill>
                <a:srgbClr val="238B45"/>
              </a:solidFill>
              <a:ln w="3175">
                <a:solidFill>
                  <a:schemeClr val="tx1"/>
                </a:solidFill>
              </a:ln>
            </c:spPr>
          </c:dPt>
          <c:dPt>
            <c:idx val="11"/>
            <c:invertIfNegative val="0"/>
            <c:bubble3D val="0"/>
            <c:spPr>
              <a:solidFill>
                <a:srgbClr val="E7E1EF"/>
              </a:solidFill>
              <a:ln w="3175">
                <a:solidFill>
                  <a:schemeClr val="tx1"/>
                </a:solidFill>
              </a:ln>
            </c:spPr>
          </c:dPt>
          <c:dPt>
            <c:idx val="12"/>
            <c:invertIfNegative val="0"/>
            <c:bubble3D val="0"/>
            <c:spPr>
              <a:solidFill>
                <a:srgbClr val="006D2C"/>
              </a:solidFill>
              <a:ln w="3175">
                <a:solidFill>
                  <a:schemeClr val="tx1"/>
                </a:solidFill>
              </a:ln>
            </c:spPr>
          </c:dPt>
          <c:cat>
            <c:strRef>
              <c:f>Analysis!$A$3:$A$15</c:f>
              <c:strCache>
                <c:ptCount val="13"/>
                <c:pt idx="0">
                  <c:v>ActewAGL</c:v>
                </c:pt>
                <c:pt idx="1">
                  <c:v>Ausgrid</c:v>
                </c:pt>
                <c:pt idx="2">
                  <c:v>CitiPower</c:v>
                </c:pt>
                <c:pt idx="3">
                  <c:v>Endeavour Energy</c:v>
                </c:pt>
                <c:pt idx="4">
                  <c:v>Energex</c:v>
                </c:pt>
                <c:pt idx="5">
                  <c:v>Ergon Energy</c:v>
                </c:pt>
                <c:pt idx="6">
                  <c:v>Essential Energy</c:v>
                </c:pt>
                <c:pt idx="7">
                  <c:v>Jemena</c:v>
                </c:pt>
                <c:pt idx="8">
                  <c:v>Powercor</c:v>
                </c:pt>
                <c:pt idx="9">
                  <c:v>SA Power Networks</c:v>
                </c:pt>
                <c:pt idx="10">
                  <c:v>AusNet Services</c:v>
                </c:pt>
                <c:pt idx="11">
                  <c:v>TasNetworks</c:v>
                </c:pt>
                <c:pt idx="12">
                  <c:v>United Energy</c:v>
                </c:pt>
              </c:strCache>
            </c:strRef>
          </c:cat>
          <c:val>
            <c:numRef>
              <c:f>Analysis!$I$3:$I$15</c:f>
              <c:numCache>
                <c:formatCode>#,##0</c:formatCode>
                <c:ptCount val="13"/>
                <c:pt idx="0">
                  <c:v>5198.4609527981584</c:v>
                </c:pt>
                <c:pt idx="1">
                  <c:v>41136.965443260851</c:v>
                </c:pt>
                <c:pt idx="2">
                  <c:v>4435.6306162000201</c:v>
                </c:pt>
                <c:pt idx="3">
                  <c:v>35512.406323800002</c:v>
                </c:pt>
                <c:pt idx="4">
                  <c:v>52197.326199999996</c:v>
                </c:pt>
                <c:pt idx="5">
                  <c:v>152011.2357266809</c:v>
                </c:pt>
                <c:pt idx="6">
                  <c:v>191300.53773853375</c:v>
                </c:pt>
                <c:pt idx="7">
                  <c:v>6189.0183568508846</c:v>
                </c:pt>
                <c:pt idx="8">
                  <c:v>74158.861735799626</c:v>
                </c:pt>
                <c:pt idx="9">
                  <c:v>88124.322007119554</c:v>
                </c:pt>
                <c:pt idx="10">
                  <c:v>44166.322466444326</c:v>
                </c:pt>
                <c:pt idx="11">
                  <c:v>22472.845599999997</c:v>
                </c:pt>
                <c:pt idx="12">
                  <c:v>12844.880744978</c:v>
                </c:pt>
              </c:numCache>
            </c:numRef>
          </c:val>
        </c:ser>
        <c:dLbls>
          <c:showLegendKey val="0"/>
          <c:showVal val="0"/>
          <c:showCatName val="0"/>
          <c:showSerName val="0"/>
          <c:showPercent val="0"/>
          <c:showBubbleSize val="0"/>
        </c:dLbls>
        <c:gapWidth val="25"/>
        <c:axId val="268123136"/>
        <c:axId val="268124928"/>
      </c:barChart>
      <c:catAx>
        <c:axId val="268123136"/>
        <c:scaling>
          <c:orientation val="minMax"/>
        </c:scaling>
        <c:delete val="0"/>
        <c:axPos val="b"/>
        <c:majorTickMark val="out"/>
        <c:minorTickMark val="none"/>
        <c:tickLblPos val="nextTo"/>
        <c:txPr>
          <a:bodyPr/>
          <a:lstStyle/>
          <a:p>
            <a:pPr>
              <a:defRPr b="1"/>
            </a:pPr>
            <a:endParaRPr lang="en-US"/>
          </a:p>
        </c:txPr>
        <c:crossAx val="268124928"/>
        <c:crosses val="autoZero"/>
        <c:auto val="1"/>
        <c:lblAlgn val="ctr"/>
        <c:lblOffset val="100"/>
        <c:noMultiLvlLbl val="0"/>
      </c:catAx>
      <c:valAx>
        <c:axId val="268124928"/>
        <c:scaling>
          <c:orientation val="minMax"/>
        </c:scaling>
        <c:delete val="0"/>
        <c:axPos val="l"/>
        <c:majorGridlines/>
        <c:title>
          <c:tx>
            <c:rich>
              <a:bodyPr rot="-5400000" vert="horz"/>
              <a:lstStyle/>
              <a:p>
                <a:pPr>
                  <a:defRPr sz="1200" b="1"/>
                </a:pPr>
                <a:r>
                  <a:rPr lang="en-AU" sz="1200" b="1"/>
                  <a:t>Circuit</a:t>
                </a:r>
                <a:r>
                  <a:rPr lang="en-AU" sz="1200" b="1" baseline="0"/>
                  <a:t> line length (km)</a:t>
                </a:r>
                <a:endParaRPr lang="en-AU" sz="1200" b="1"/>
              </a:p>
            </c:rich>
          </c:tx>
          <c:layout>
            <c:manualLayout>
              <c:xMode val="edge"/>
              <c:yMode val="edge"/>
              <c:x val="6.5969415772096961E-3"/>
              <c:y val="0.20061665678886914"/>
            </c:manualLayout>
          </c:layout>
          <c:overlay val="0"/>
        </c:title>
        <c:numFmt formatCode="#,##0" sourceLinked="0"/>
        <c:majorTickMark val="out"/>
        <c:minorTickMark val="none"/>
        <c:tickLblPos val="nextTo"/>
        <c:txPr>
          <a:bodyPr/>
          <a:lstStyle/>
          <a:p>
            <a:pPr>
              <a:defRPr b="1"/>
            </a:pPr>
            <a:endParaRPr lang="en-US"/>
          </a:p>
        </c:txPr>
        <c:crossAx val="2681231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'State Charts and data'!$C$5</c:f>
              <c:strCache>
                <c:ptCount val="1"/>
                <c:pt idx="0">
                  <c:v>Customer density</c:v>
                </c:pt>
              </c:strCache>
            </c:strRef>
          </c:tx>
          <c:invertIfNegative val="0"/>
          <c:dPt>
            <c:idx val="0"/>
            <c:invertIfNegative val="0"/>
            <c:bubble3D val="0"/>
            <c:spPr>
              <a:solidFill>
                <a:srgbClr val="FCC0C0"/>
              </a:solidFill>
            </c:spPr>
          </c:dPt>
          <c:dPt>
            <c:idx val="2"/>
            <c:invertIfNegative val="0"/>
            <c:bubble3D val="0"/>
            <c:spPr>
              <a:solidFill>
                <a:schemeClr val="accent2">
                  <a:lumMod val="75000"/>
                </a:schemeClr>
              </a:solidFill>
            </c:spPr>
          </c:dPt>
          <c:dPt>
            <c:idx val="3"/>
            <c:invertIfNegative val="0"/>
            <c:bubble3D val="0"/>
            <c:spPr>
              <a:solidFill>
                <a:schemeClr val="accent6"/>
              </a:solidFill>
            </c:spPr>
          </c:dPt>
          <c:dPt>
            <c:idx val="4"/>
            <c:invertIfNegative val="0"/>
            <c:bubble3D val="0"/>
            <c:spPr>
              <a:solidFill>
                <a:schemeClr val="accent4">
                  <a:lumMod val="60000"/>
                  <a:lumOff val="40000"/>
                </a:schemeClr>
              </a:solidFill>
            </c:spPr>
          </c:dPt>
          <c:dPt>
            <c:idx val="5"/>
            <c:invertIfNegative val="0"/>
            <c:bubble3D val="0"/>
            <c:spPr>
              <a:solidFill>
                <a:srgbClr val="238B45"/>
              </a:solidFill>
            </c:spPr>
          </c:dPt>
          <c:cat>
            <c:strRef>
              <c:f>'State Charts and data'!$B$6:$B$11</c:f>
              <c:strCache>
                <c:ptCount val="6"/>
                <c:pt idx="0">
                  <c:v>ACT</c:v>
                </c:pt>
                <c:pt idx="1">
                  <c:v>NSW</c:v>
                </c:pt>
                <c:pt idx="2">
                  <c:v>QLD</c:v>
                </c:pt>
                <c:pt idx="3">
                  <c:v>SA</c:v>
                </c:pt>
                <c:pt idx="4">
                  <c:v>TAS</c:v>
                </c:pt>
                <c:pt idx="5">
                  <c:v>VIC</c:v>
                </c:pt>
              </c:strCache>
            </c:strRef>
          </c:cat>
          <c:val>
            <c:numRef>
              <c:f>'State Charts and data'!$C$6:$C$11</c:f>
              <c:numCache>
                <c:formatCode>#,##0</c:formatCode>
                <c:ptCount val="6"/>
                <c:pt idx="0">
                  <c:v>44.032043856129668</c:v>
                </c:pt>
                <c:pt idx="1">
                  <c:v>13.976465463775886</c:v>
                </c:pt>
                <c:pt idx="2">
                  <c:v>11.403413900594611</c:v>
                </c:pt>
                <c:pt idx="3">
                  <c:v>10.470859357299215</c:v>
                </c:pt>
                <c:pt idx="4">
                  <c:v>13.829330883742543</c:v>
                </c:pt>
                <c:pt idx="5">
                  <c:v>22.461228220412341</c:v>
                </c:pt>
              </c:numCache>
            </c:numRef>
          </c:val>
        </c:ser>
        <c:dLbls>
          <c:showLegendKey val="0"/>
          <c:showVal val="0"/>
          <c:showCatName val="0"/>
          <c:showSerName val="0"/>
          <c:showPercent val="0"/>
          <c:showBubbleSize val="0"/>
        </c:dLbls>
        <c:gapWidth val="65"/>
        <c:overlap val="100"/>
        <c:axId val="269863936"/>
        <c:axId val="212513920"/>
      </c:barChart>
      <c:catAx>
        <c:axId val="269863936"/>
        <c:scaling>
          <c:orientation val="minMax"/>
        </c:scaling>
        <c:delete val="0"/>
        <c:axPos val="b"/>
        <c:majorTickMark val="out"/>
        <c:minorTickMark val="none"/>
        <c:tickLblPos val="nextTo"/>
        <c:txPr>
          <a:bodyPr/>
          <a:lstStyle/>
          <a:p>
            <a:pPr>
              <a:defRPr b="1"/>
            </a:pPr>
            <a:endParaRPr lang="en-US"/>
          </a:p>
        </c:txPr>
        <c:crossAx val="212513920"/>
        <c:crosses val="autoZero"/>
        <c:auto val="1"/>
        <c:lblAlgn val="ctr"/>
        <c:lblOffset val="100"/>
        <c:noMultiLvlLbl val="0"/>
      </c:catAx>
      <c:valAx>
        <c:axId val="212513920"/>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title>
          <c:tx>
            <c:rich>
              <a:bodyPr rot="-5400000" vert="horz"/>
              <a:lstStyle/>
              <a:p>
                <a:pPr>
                  <a:defRPr/>
                </a:pPr>
                <a:r>
                  <a:rPr lang="en-US"/>
                  <a:t>Customer Density </a:t>
                </a:r>
                <a:r>
                  <a:rPr lang="en-US" b="0"/>
                  <a:t>(#/km)</a:t>
                </a:r>
              </a:p>
            </c:rich>
          </c:tx>
          <c:overlay val="0"/>
        </c:title>
        <c:numFmt formatCode="#,##0" sourceLinked="1"/>
        <c:majorTickMark val="out"/>
        <c:minorTickMark val="none"/>
        <c:tickLblPos val="nextTo"/>
        <c:txPr>
          <a:bodyPr/>
          <a:lstStyle/>
          <a:p>
            <a:pPr>
              <a:defRPr b="1"/>
            </a:pPr>
            <a:endParaRPr lang="en-US"/>
          </a:p>
        </c:txPr>
        <c:crossAx val="26986393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'State Charts and data'!$A$40:$B$40</c:f>
              <c:strCache>
                <c:ptCount val="1"/>
                <c:pt idx="0">
                  <c:v>ACT</c:v>
                </c:pt>
              </c:strCache>
            </c:strRef>
          </c:tx>
          <c:spPr>
            <a:ln>
              <a:solidFill>
                <a:srgbClr val="FCC0C0"/>
              </a:solidFill>
            </a:ln>
          </c:spPr>
          <c:marker>
            <c:symbol val="x"/>
            <c:size val="5"/>
            <c:spPr>
              <a:ln w="15875">
                <a:solidFill>
                  <a:schemeClr val="accent2">
                    <a:lumMod val="60000"/>
                    <a:lumOff val="40000"/>
                  </a:schemeClr>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data'!$C$40:$M$40</c:f>
              <c:numCache>
                <c:formatCode>_-"$"* #,##0_-;\-"$"* #,##0_-;_-"$"* "-"??_-;_-@_-</c:formatCode>
                <c:ptCount val="11"/>
                <c:pt idx="0">
                  <c:v>665.32236609098277</c:v>
                </c:pt>
                <c:pt idx="1">
                  <c:v>665.96086737136602</c:v>
                </c:pt>
                <c:pt idx="2">
                  <c:v>685.97266164580799</c:v>
                </c:pt>
                <c:pt idx="3">
                  <c:v>690.48829162489449</c:v>
                </c:pt>
                <c:pt idx="4">
                  <c:v>728.67926418419859</c:v>
                </c:pt>
                <c:pt idx="5">
                  <c:v>776.62086104338869</c:v>
                </c:pt>
                <c:pt idx="6">
                  <c:v>809.22042345593491</c:v>
                </c:pt>
                <c:pt idx="7">
                  <c:v>854.86016595102956</c:v>
                </c:pt>
                <c:pt idx="8">
                  <c:v>926.60077754210965</c:v>
                </c:pt>
                <c:pt idx="9">
                  <c:v>954.96417775755356</c:v>
                </c:pt>
                <c:pt idx="10">
                  <c:v>779.90502238814395</c:v>
                </c:pt>
              </c:numCache>
            </c:numRef>
          </c:val>
          <c:smooth val="0"/>
        </c:ser>
        <c:ser>
          <c:idx val="1"/>
          <c:order val="1"/>
          <c:tx>
            <c:strRef>
              <c:f>'State Charts and data'!$A$41:$B$41</c:f>
              <c:strCache>
                <c:ptCount val="1"/>
                <c:pt idx="0">
                  <c:v>NSW</c:v>
                </c:pt>
              </c:strCache>
            </c:strRef>
          </c:tx>
          <c:spPr>
            <a:ln>
              <a:solidFill>
                <a:srgbClr val="0070C0"/>
              </a:solidFill>
            </a:ln>
          </c:spPr>
          <c:marker>
            <c:symbol val="star"/>
            <c:size val="5"/>
            <c:spPr>
              <a:ln w="15875">
                <a:solidFill>
                  <a:srgbClr val="0070C0"/>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data'!$C$41:$M$41</c:f>
              <c:numCache>
                <c:formatCode>_-"$"* #,##0_-;\-"$"* #,##0_-;_-"$"* "-"??_-;_-@_-</c:formatCode>
                <c:ptCount val="11"/>
                <c:pt idx="0">
                  <c:v>649.5532107538553</c:v>
                </c:pt>
                <c:pt idx="1">
                  <c:v>673.08546433198319</c:v>
                </c:pt>
                <c:pt idx="2">
                  <c:v>791.85039836364456</c:v>
                </c:pt>
                <c:pt idx="3">
                  <c:v>792.86942236088294</c:v>
                </c:pt>
                <c:pt idx="4">
                  <c:v>855.77746968965596</c:v>
                </c:pt>
                <c:pt idx="5">
                  <c:v>883.2480179685441</c:v>
                </c:pt>
                <c:pt idx="6">
                  <c:v>958.97404303066514</c:v>
                </c:pt>
                <c:pt idx="7">
                  <c:v>944.81604846199514</c:v>
                </c:pt>
                <c:pt idx="8">
                  <c:v>969.86696900153061</c:v>
                </c:pt>
                <c:pt idx="9">
                  <c:v>975.39378853428332</c:v>
                </c:pt>
                <c:pt idx="10">
                  <c:v>949.85765240242279</c:v>
                </c:pt>
              </c:numCache>
            </c:numRef>
          </c:val>
          <c:smooth val="0"/>
        </c:ser>
        <c:ser>
          <c:idx val="2"/>
          <c:order val="2"/>
          <c:tx>
            <c:strRef>
              <c:f>'State Charts and data'!$A$42:$B$42</c:f>
              <c:strCache>
                <c:ptCount val="1"/>
                <c:pt idx="0">
                  <c:v>QLD</c:v>
                </c:pt>
              </c:strCache>
            </c:strRef>
          </c:tx>
          <c:spPr>
            <a:ln>
              <a:solidFill>
                <a:srgbClr val="800026"/>
              </a:solidFill>
            </a:ln>
          </c:spPr>
          <c:marker>
            <c:symbol val="square"/>
            <c:size val="5"/>
            <c:spPr>
              <a:solidFill>
                <a:schemeClr val="accent2">
                  <a:lumMod val="75000"/>
                </a:schemeClr>
              </a:solidFill>
              <a:ln>
                <a:solidFill>
                  <a:schemeClr val="accent2">
                    <a:lumMod val="75000"/>
                  </a:schemeClr>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data'!$C$42:$M$42</c:f>
              <c:numCache>
                <c:formatCode>_-"$"* #,##0_-;\-"$"* #,##0_-;_-"$"* "-"??_-;_-@_-</c:formatCode>
                <c:ptCount val="11"/>
                <c:pt idx="0">
                  <c:v>819.3000092055438</c:v>
                </c:pt>
                <c:pt idx="1">
                  <c:v>844.66644758606549</c:v>
                </c:pt>
                <c:pt idx="2">
                  <c:v>863.82697516173369</c:v>
                </c:pt>
                <c:pt idx="3">
                  <c:v>858.66804963105074</c:v>
                </c:pt>
                <c:pt idx="4">
                  <c:v>875.01865688311875</c:v>
                </c:pt>
                <c:pt idx="5">
                  <c:v>941.89433056219775</c:v>
                </c:pt>
                <c:pt idx="6">
                  <c:v>973.93784207011606</c:v>
                </c:pt>
                <c:pt idx="7">
                  <c:v>958.26192570703915</c:v>
                </c:pt>
                <c:pt idx="8">
                  <c:v>953.23659935957437</c:v>
                </c:pt>
                <c:pt idx="9">
                  <c:v>967.03382639444351</c:v>
                </c:pt>
                <c:pt idx="10">
                  <c:v>928.56337203281691</c:v>
                </c:pt>
              </c:numCache>
            </c:numRef>
          </c:val>
          <c:smooth val="0"/>
        </c:ser>
        <c:ser>
          <c:idx val="3"/>
          <c:order val="3"/>
          <c:tx>
            <c:strRef>
              <c:f>'State Charts and data'!$A$43:$B$43</c:f>
              <c:strCache>
                <c:ptCount val="1"/>
                <c:pt idx="0">
                  <c:v>SA</c:v>
                </c:pt>
              </c:strCache>
            </c:strRef>
          </c:tx>
          <c:spPr>
            <a:ln>
              <a:solidFill>
                <a:srgbClr val="FF9933"/>
              </a:solidFill>
            </a:ln>
          </c:spPr>
          <c:marker>
            <c:symbol val="diamond"/>
            <c:size val="5"/>
            <c:spPr>
              <a:solidFill>
                <a:srgbClr val="FF9933"/>
              </a:solidFill>
              <a:ln>
                <a:solidFill>
                  <a:srgbClr val="FF9933"/>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data'!$C$43:$M$43</c:f>
              <c:numCache>
                <c:formatCode>_-"$"* #,##0_-;\-"$"* #,##0_-;_-"$"* "-"??_-;_-@_-</c:formatCode>
                <c:ptCount val="11"/>
                <c:pt idx="0">
                  <c:v>590.48141214484269</c:v>
                </c:pt>
                <c:pt idx="1">
                  <c:v>591.05055257272181</c:v>
                </c:pt>
                <c:pt idx="2">
                  <c:v>616.53190478275121</c:v>
                </c:pt>
                <c:pt idx="3">
                  <c:v>617.50788904003059</c:v>
                </c:pt>
                <c:pt idx="4">
                  <c:v>621.75706798593035</c:v>
                </c:pt>
                <c:pt idx="5">
                  <c:v>642.77749191183739</c:v>
                </c:pt>
                <c:pt idx="6">
                  <c:v>660.17054512076174</c:v>
                </c:pt>
                <c:pt idx="7">
                  <c:v>702.67134734124295</c:v>
                </c:pt>
                <c:pt idx="8">
                  <c:v>726.60747599167837</c:v>
                </c:pt>
                <c:pt idx="9">
                  <c:v>761.49699364413914</c:v>
                </c:pt>
                <c:pt idx="10">
                  <c:v>664.85758619405897</c:v>
                </c:pt>
              </c:numCache>
            </c:numRef>
          </c:val>
          <c:smooth val="0"/>
        </c:ser>
        <c:ser>
          <c:idx val="4"/>
          <c:order val="4"/>
          <c:tx>
            <c:strRef>
              <c:f>'State Charts and data'!$A$44:$B$44</c:f>
              <c:strCache>
                <c:ptCount val="1"/>
                <c:pt idx="0">
                  <c:v>TAS</c:v>
                </c:pt>
              </c:strCache>
            </c:strRef>
          </c:tx>
          <c:spPr>
            <a:ln>
              <a:solidFill>
                <a:srgbClr val="7030A0"/>
              </a:solidFill>
            </a:ln>
          </c:spPr>
          <c:marker>
            <c:symbol val="circle"/>
            <c:size val="5"/>
            <c:spPr>
              <a:solidFill>
                <a:srgbClr val="7030A0"/>
              </a:solidFill>
              <a:ln>
                <a:solidFill>
                  <a:srgbClr val="7030A0"/>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data'!$C$44:$M$44</c:f>
              <c:numCache>
                <c:formatCode>_-"$"* #,##0_-;\-"$"* #,##0_-;_-"$"* "-"??_-;_-@_-</c:formatCode>
                <c:ptCount val="11"/>
                <c:pt idx="0">
                  <c:v>656.49382974672551</c:v>
                </c:pt>
                <c:pt idx="1">
                  <c:v>685.38066390997915</c:v>
                </c:pt>
                <c:pt idx="2">
                  <c:v>682.76614593854083</c:v>
                </c:pt>
                <c:pt idx="3">
                  <c:v>675.55491549303213</c:v>
                </c:pt>
                <c:pt idx="4">
                  <c:v>758.55129457856799</c:v>
                </c:pt>
                <c:pt idx="5">
                  <c:v>772.76647245815025</c:v>
                </c:pt>
                <c:pt idx="6">
                  <c:v>819.90992145742848</c:v>
                </c:pt>
                <c:pt idx="7">
                  <c:v>765.47371105931302</c:v>
                </c:pt>
                <c:pt idx="8">
                  <c:v>775.44935849926935</c:v>
                </c:pt>
                <c:pt idx="9">
                  <c:v>746.64016669741761</c:v>
                </c:pt>
                <c:pt idx="10">
                  <c:v>765.44473593046541</c:v>
                </c:pt>
              </c:numCache>
            </c:numRef>
          </c:val>
          <c:smooth val="0"/>
        </c:ser>
        <c:ser>
          <c:idx val="5"/>
          <c:order val="5"/>
          <c:tx>
            <c:strRef>
              <c:f>'State Charts and data'!$A$45:$B$45</c:f>
              <c:strCache>
                <c:ptCount val="1"/>
                <c:pt idx="0">
                  <c:v>VIC</c:v>
                </c:pt>
              </c:strCache>
            </c:strRef>
          </c:tx>
          <c:spPr>
            <a:ln>
              <a:solidFill>
                <a:srgbClr val="238B45"/>
              </a:solidFill>
            </a:ln>
          </c:spPr>
          <c:marker>
            <c:symbol val="triangle"/>
            <c:size val="5"/>
            <c:spPr>
              <a:solidFill>
                <a:srgbClr val="238B45"/>
              </a:solidFill>
              <a:ln>
                <a:solidFill>
                  <a:srgbClr val="238B45"/>
                </a:solidFill>
              </a:ln>
            </c:spPr>
          </c:marker>
          <c:cat>
            <c:numRef>
              <c:f>'State Charts and data'!$C$39:$M$39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data'!$C$45:$M$45</c:f>
              <c:numCache>
                <c:formatCode>_-"$"* #,##0_-;\-"$"* #,##0_-;_-"$"* "-"??_-;_-@_-</c:formatCode>
                <c:ptCount val="11"/>
                <c:pt idx="0">
                  <c:v>444.03624807433147</c:v>
                </c:pt>
                <c:pt idx="1">
                  <c:v>455.88089554313098</c:v>
                </c:pt>
                <c:pt idx="2">
                  <c:v>452.24891586208554</c:v>
                </c:pt>
                <c:pt idx="3">
                  <c:v>481.07714105243167</c:v>
                </c:pt>
                <c:pt idx="4">
                  <c:v>487.0840526477387</c:v>
                </c:pt>
                <c:pt idx="5">
                  <c:v>498.31604866980427</c:v>
                </c:pt>
                <c:pt idx="6">
                  <c:v>536.21733994366582</c:v>
                </c:pt>
                <c:pt idx="7">
                  <c:v>561.35880078927539</c:v>
                </c:pt>
                <c:pt idx="8">
                  <c:v>568.08480716397105</c:v>
                </c:pt>
                <c:pt idx="9">
                  <c:v>588.30562245424414</c:v>
                </c:pt>
                <c:pt idx="10">
                  <c:v>629.87651296849219</c:v>
                </c:pt>
              </c:numCache>
            </c:numRef>
          </c:val>
          <c:smooth val="0"/>
        </c:ser>
        <c:dLbls>
          <c:showLegendKey val="0"/>
          <c:showVal val="0"/>
          <c:showCatName val="0"/>
          <c:showSerName val="0"/>
          <c:showPercent val="0"/>
          <c:showBubbleSize val="0"/>
        </c:dLbls>
        <c:marker val="1"/>
        <c:smooth val="0"/>
        <c:axId val="269353728"/>
        <c:axId val="269790592"/>
      </c:lineChart>
      <c:catAx>
        <c:axId val="269353728"/>
        <c:scaling>
          <c:orientation val="minMax"/>
        </c:scaling>
        <c:delete val="0"/>
        <c:axPos val="b"/>
        <c:numFmt formatCode="General" sourceLinked="1"/>
        <c:majorTickMark val="out"/>
        <c:minorTickMark val="none"/>
        <c:tickLblPos val="nextTo"/>
        <c:txPr>
          <a:bodyPr/>
          <a:lstStyle/>
          <a:p>
            <a:pPr>
              <a:defRPr sz="1200" b="1"/>
            </a:pPr>
            <a:endParaRPr lang="en-US"/>
          </a:p>
        </c:txPr>
        <c:crossAx val="269790592"/>
        <c:crosses val="autoZero"/>
        <c:auto val="1"/>
        <c:lblAlgn val="ctr"/>
        <c:lblOffset val="100"/>
        <c:noMultiLvlLbl val="0"/>
      </c:catAx>
      <c:valAx>
        <c:axId val="269790592"/>
        <c:scaling>
          <c:orientation val="minMax"/>
        </c:scaling>
        <c:delete val="0"/>
        <c:axPos val="l"/>
        <c:majorGridlines>
          <c:spPr>
            <a:ln>
              <a:solidFill>
                <a:schemeClr val="bg1">
                  <a:lumMod val="85000"/>
                </a:schemeClr>
              </a:solidFill>
            </a:ln>
          </c:spPr>
        </c:majorGridlines>
        <c:title>
          <c:tx>
            <c:rich>
              <a:bodyPr rot="-5400000" vert="horz"/>
              <a:lstStyle/>
              <a:p>
                <a:pPr>
                  <a:defRPr sz="1400"/>
                </a:pPr>
                <a:r>
                  <a:rPr lang="en-US" sz="1400"/>
                  <a:t>Total Cost per Customer</a:t>
                </a:r>
              </a:p>
            </c:rich>
          </c:tx>
          <c:overlay val="0"/>
        </c:title>
        <c:numFmt formatCode="_-&quot;$&quot;* #,##0_-;\-&quot;$&quot;* #,##0_-;_-&quot;$&quot;* &quot;-&quot;??_-;_-@_-" sourceLinked="1"/>
        <c:majorTickMark val="out"/>
        <c:minorTickMark val="none"/>
        <c:tickLblPos val="nextTo"/>
        <c:txPr>
          <a:bodyPr/>
          <a:lstStyle/>
          <a:p>
            <a:pPr>
              <a:defRPr sz="1200" b="1"/>
            </a:pPr>
            <a:endParaRPr lang="en-US"/>
          </a:p>
        </c:txPr>
        <c:crossAx val="269353728"/>
        <c:crosses val="autoZero"/>
        <c:crossBetween val="midCat"/>
      </c:valAx>
    </c:plotArea>
    <c:legend>
      <c:legendPos val="r"/>
      <c:overlay val="0"/>
      <c:txPr>
        <a:bodyPr/>
        <a:lstStyle/>
        <a:p>
          <a:pPr>
            <a:defRPr sz="1200" b="1"/>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'State Charts and data'!$A$60:$B$60</c:f>
              <c:strCache>
                <c:ptCount val="1"/>
                <c:pt idx="0">
                  <c:v>ACT</c:v>
                </c:pt>
              </c:strCache>
            </c:strRef>
          </c:tx>
          <c:spPr>
            <a:ln>
              <a:solidFill>
                <a:srgbClr val="FCC0C0"/>
              </a:solidFill>
            </a:ln>
          </c:spPr>
          <c:marker>
            <c:symbol val="x"/>
            <c:size val="5"/>
            <c:spPr>
              <a:ln w="15875">
                <a:solidFill>
                  <a:schemeClr val="accent2">
                    <a:lumMod val="60000"/>
                    <a:lumOff val="40000"/>
                  </a:schemeClr>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data'!$C$60:$M$60</c:f>
              <c:numCache>
                <c:formatCode>_-"$"* #,##0_-;\-"$"* #,##0_-;_-"$"* "-"??_-;_-@_-</c:formatCode>
                <c:ptCount val="11"/>
                <c:pt idx="0">
                  <c:v>163141.87580892173</c:v>
                </c:pt>
                <c:pt idx="1">
                  <c:v>170514.24841518764</c:v>
                </c:pt>
                <c:pt idx="2">
                  <c:v>173877.66681557457</c:v>
                </c:pt>
                <c:pt idx="3">
                  <c:v>180815.87448377922</c:v>
                </c:pt>
                <c:pt idx="4">
                  <c:v>194507.91677022525</c:v>
                </c:pt>
                <c:pt idx="5">
                  <c:v>211336.79934615578</c:v>
                </c:pt>
                <c:pt idx="6">
                  <c:v>199725.30434526765</c:v>
                </c:pt>
                <c:pt idx="7">
                  <c:v>217150.4546636368</c:v>
                </c:pt>
                <c:pt idx="8">
                  <c:v>247190.36416562236</c:v>
                </c:pt>
                <c:pt idx="9">
                  <c:v>239867.16744230763</c:v>
                </c:pt>
                <c:pt idx="10">
                  <c:v>215545.95019207505</c:v>
                </c:pt>
              </c:numCache>
            </c:numRef>
          </c:val>
          <c:smooth val="0"/>
        </c:ser>
        <c:ser>
          <c:idx val="1"/>
          <c:order val="1"/>
          <c:tx>
            <c:strRef>
              <c:f>'State Charts and data'!$A$61:$B$61</c:f>
              <c:strCache>
                <c:ptCount val="1"/>
                <c:pt idx="0">
                  <c:v>NSW</c:v>
                </c:pt>
              </c:strCache>
            </c:strRef>
          </c:tx>
          <c:spPr>
            <a:ln>
              <a:solidFill>
                <a:srgbClr val="0070C0"/>
              </a:solidFill>
            </a:ln>
          </c:spPr>
          <c:marker>
            <c:symbol val="star"/>
            <c:size val="5"/>
            <c:spPr>
              <a:ln w="15875">
                <a:solidFill>
                  <a:srgbClr val="0070C0"/>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data'!$C$61:$M$61</c:f>
              <c:numCache>
                <c:formatCode>_-"$"* #,##0_-;\-"$"* #,##0_-;_-"$"* "-"??_-;_-@_-</c:formatCode>
                <c:ptCount val="11"/>
                <c:pt idx="0">
                  <c:v>167859.18239549387</c:v>
                </c:pt>
                <c:pt idx="1">
                  <c:v>176418.81231201207</c:v>
                </c:pt>
                <c:pt idx="2">
                  <c:v>205969.76057398447</c:v>
                </c:pt>
                <c:pt idx="3">
                  <c:v>200958.67040214819</c:v>
                </c:pt>
                <c:pt idx="4">
                  <c:v>220769.04528031638</c:v>
                </c:pt>
                <c:pt idx="5">
                  <c:v>222374.84537277656</c:v>
                </c:pt>
                <c:pt idx="6">
                  <c:v>273408.08648420259</c:v>
                </c:pt>
                <c:pt idx="7">
                  <c:v>259115.18475915716</c:v>
                </c:pt>
                <c:pt idx="8">
                  <c:v>290712.99614368973</c:v>
                </c:pt>
                <c:pt idx="9">
                  <c:v>291539.73659820569</c:v>
                </c:pt>
                <c:pt idx="10">
                  <c:v>263552.33275082905</c:v>
                </c:pt>
              </c:numCache>
            </c:numRef>
          </c:val>
          <c:smooth val="0"/>
        </c:ser>
        <c:ser>
          <c:idx val="2"/>
          <c:order val="2"/>
          <c:tx>
            <c:strRef>
              <c:f>'State Charts and data'!$A$62:$B$62</c:f>
              <c:strCache>
                <c:ptCount val="1"/>
                <c:pt idx="0">
                  <c:v>QLD</c:v>
                </c:pt>
              </c:strCache>
            </c:strRef>
          </c:tx>
          <c:spPr>
            <a:ln>
              <a:solidFill>
                <a:srgbClr val="800026"/>
              </a:solidFill>
            </a:ln>
          </c:spPr>
          <c:marker>
            <c:symbol val="square"/>
            <c:size val="5"/>
            <c:spPr>
              <a:solidFill>
                <a:schemeClr val="accent2">
                  <a:lumMod val="75000"/>
                </a:schemeClr>
              </a:solidFill>
              <a:ln>
                <a:solidFill>
                  <a:schemeClr val="accent2">
                    <a:lumMod val="75000"/>
                  </a:schemeClr>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data'!$C$62:$M$62</c:f>
              <c:numCache>
                <c:formatCode>_-"$"* #,##0_-;\-"$"* #,##0_-;_-"$"* "-"??_-;_-@_-</c:formatCode>
                <c:ptCount val="11"/>
                <c:pt idx="0">
                  <c:v>214008.47261932548</c:v>
                </c:pt>
                <c:pt idx="1">
                  <c:v>211599.05759451131</c:v>
                </c:pt>
                <c:pt idx="2">
                  <c:v>209666.45929863825</c:v>
                </c:pt>
                <c:pt idx="3">
                  <c:v>207596.02582135459</c:v>
                </c:pt>
                <c:pt idx="4">
                  <c:v>203436.82512211759</c:v>
                </c:pt>
                <c:pt idx="5">
                  <c:v>234194.18902875221</c:v>
                </c:pt>
                <c:pt idx="6">
                  <c:v>253606.55365323019</c:v>
                </c:pt>
                <c:pt idx="7">
                  <c:v>253177.26042557918</c:v>
                </c:pt>
                <c:pt idx="8">
                  <c:v>263139.74396321748</c:v>
                </c:pt>
                <c:pt idx="9">
                  <c:v>261590.52635716964</c:v>
                </c:pt>
                <c:pt idx="10">
                  <c:v>255036.33054508813</c:v>
                </c:pt>
              </c:numCache>
            </c:numRef>
          </c:val>
          <c:smooth val="0"/>
        </c:ser>
        <c:ser>
          <c:idx val="3"/>
          <c:order val="3"/>
          <c:tx>
            <c:strRef>
              <c:f>'State Charts and data'!$A$63:$B$63</c:f>
              <c:strCache>
                <c:ptCount val="1"/>
                <c:pt idx="0">
                  <c:v>SA</c:v>
                </c:pt>
              </c:strCache>
            </c:strRef>
          </c:tx>
          <c:spPr>
            <a:ln>
              <a:solidFill>
                <a:srgbClr val="FF9933"/>
              </a:solidFill>
            </a:ln>
          </c:spPr>
          <c:marker>
            <c:symbol val="diamond"/>
            <c:size val="5"/>
            <c:spPr>
              <a:solidFill>
                <a:srgbClr val="FF9933"/>
              </a:solidFill>
              <a:ln>
                <a:solidFill>
                  <a:srgbClr val="FF9933"/>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data'!$C$63:$M$63</c:f>
              <c:numCache>
                <c:formatCode>_-"$"* #,##0_-;\-"$"* #,##0_-;_-"$"* "-"??_-;_-@_-</c:formatCode>
                <c:ptCount val="11"/>
                <c:pt idx="0">
                  <c:v>166308.11695895332</c:v>
                </c:pt>
                <c:pt idx="1">
                  <c:v>167762.38170758844</c:v>
                </c:pt>
                <c:pt idx="2">
                  <c:v>162700.74831977981</c:v>
                </c:pt>
                <c:pt idx="3">
                  <c:v>157523.50873243879</c:v>
                </c:pt>
                <c:pt idx="4">
                  <c:v>166061.19271837414</c:v>
                </c:pt>
                <c:pt idx="5">
                  <c:v>173558.93487720145</c:v>
                </c:pt>
                <c:pt idx="6">
                  <c:v>201315.54021439111</c:v>
                </c:pt>
                <c:pt idx="7">
                  <c:v>205255.85713750296</c:v>
                </c:pt>
                <c:pt idx="8">
                  <c:v>202986.13552443826</c:v>
                </c:pt>
                <c:pt idx="9">
                  <c:v>236769.4128052571</c:v>
                </c:pt>
                <c:pt idx="10">
                  <c:v>205650.39364596887</c:v>
                </c:pt>
              </c:numCache>
            </c:numRef>
          </c:val>
          <c:smooth val="0"/>
        </c:ser>
        <c:ser>
          <c:idx val="4"/>
          <c:order val="4"/>
          <c:tx>
            <c:strRef>
              <c:f>'State Charts and data'!$A$64:$B$64</c:f>
              <c:strCache>
                <c:ptCount val="1"/>
                <c:pt idx="0">
                  <c:v>TAS</c:v>
                </c:pt>
              </c:strCache>
            </c:strRef>
          </c:tx>
          <c:spPr>
            <a:ln>
              <a:solidFill>
                <a:srgbClr val="7030A0"/>
              </a:solidFill>
            </a:ln>
          </c:spPr>
          <c:marker>
            <c:symbol val="circle"/>
            <c:size val="5"/>
            <c:spPr>
              <a:solidFill>
                <a:srgbClr val="7030A0"/>
              </a:solidFill>
              <a:ln>
                <a:solidFill>
                  <a:srgbClr val="7030A0"/>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data'!$C$64:$M$64</c:f>
              <c:numCache>
                <c:formatCode>_-"$"* #,##0_-;\-"$"* #,##0_-;_-"$"* "-"??_-;_-@_-</c:formatCode>
                <c:ptCount val="11"/>
                <c:pt idx="0">
                  <c:v>154793.29314233791</c:v>
                </c:pt>
                <c:pt idx="1">
                  <c:v>152529.66700608667</c:v>
                </c:pt>
                <c:pt idx="2">
                  <c:v>154080.4748131971</c:v>
                </c:pt>
                <c:pt idx="3">
                  <c:v>158144.2663734534</c:v>
                </c:pt>
                <c:pt idx="4">
                  <c:v>184760.16950985015</c:v>
                </c:pt>
                <c:pt idx="5">
                  <c:v>197014.02676573535</c:v>
                </c:pt>
                <c:pt idx="6">
                  <c:v>219056.01041686797</c:v>
                </c:pt>
                <c:pt idx="7">
                  <c:v>209619.95750171019</c:v>
                </c:pt>
                <c:pt idx="8">
                  <c:v>206875.60762363503</c:v>
                </c:pt>
                <c:pt idx="9">
                  <c:v>202387.46319525919</c:v>
                </c:pt>
                <c:pt idx="10">
                  <c:v>203155.93821252321</c:v>
                </c:pt>
              </c:numCache>
            </c:numRef>
          </c:val>
          <c:smooth val="0"/>
        </c:ser>
        <c:ser>
          <c:idx val="5"/>
          <c:order val="5"/>
          <c:tx>
            <c:strRef>
              <c:f>'State Charts and data'!$A$65:$B$65</c:f>
              <c:strCache>
                <c:ptCount val="1"/>
                <c:pt idx="0">
                  <c:v>VIC</c:v>
                </c:pt>
              </c:strCache>
            </c:strRef>
          </c:tx>
          <c:spPr>
            <a:ln>
              <a:solidFill>
                <a:srgbClr val="238B45"/>
              </a:solidFill>
            </a:ln>
          </c:spPr>
          <c:marker>
            <c:symbol val="triangle"/>
            <c:size val="5"/>
            <c:spPr>
              <a:solidFill>
                <a:srgbClr val="238B45"/>
              </a:solidFill>
              <a:ln>
                <a:solidFill>
                  <a:srgbClr val="238B45"/>
                </a:solidFill>
              </a:ln>
            </c:spPr>
          </c:marker>
          <c:cat>
            <c:numRef>
              <c:f>'State Charts and data'!$C$59:$M$59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data'!$C$65:$M$65</c:f>
              <c:numCache>
                <c:formatCode>_-"$"* #,##0_-;\-"$"* #,##0_-;_-"$"* "-"??_-;_-@_-</c:formatCode>
                <c:ptCount val="11"/>
                <c:pt idx="0">
                  <c:v>145100.87307188881</c:v>
                </c:pt>
                <c:pt idx="1">
                  <c:v>144047.79921441284</c:v>
                </c:pt>
                <c:pt idx="2">
                  <c:v>136515.59642710438</c:v>
                </c:pt>
                <c:pt idx="3">
                  <c:v>137048.130673468</c:v>
                </c:pt>
                <c:pt idx="4">
                  <c:v>144619.49452813825</c:v>
                </c:pt>
                <c:pt idx="5">
                  <c:v>153000.62646589684</c:v>
                </c:pt>
                <c:pt idx="6">
                  <c:v>177884.9620262949</c:v>
                </c:pt>
                <c:pt idx="7">
                  <c:v>175218.34564786113</c:v>
                </c:pt>
                <c:pt idx="8">
                  <c:v>171696.81863981119</c:v>
                </c:pt>
                <c:pt idx="9">
                  <c:v>204118.24614883584</c:v>
                </c:pt>
                <c:pt idx="10">
                  <c:v>202653.56034007482</c:v>
                </c:pt>
              </c:numCache>
            </c:numRef>
          </c:val>
          <c:smooth val="0"/>
        </c:ser>
        <c:dLbls>
          <c:showLegendKey val="0"/>
          <c:showVal val="0"/>
          <c:showCatName val="0"/>
          <c:showSerName val="0"/>
          <c:showPercent val="0"/>
          <c:showBubbleSize val="0"/>
        </c:dLbls>
        <c:marker val="1"/>
        <c:smooth val="0"/>
        <c:axId val="269395840"/>
        <c:axId val="269414400"/>
      </c:lineChart>
      <c:catAx>
        <c:axId val="269395840"/>
        <c:scaling>
          <c:orientation val="minMax"/>
        </c:scaling>
        <c:delete val="0"/>
        <c:axPos val="b"/>
        <c:numFmt formatCode="General" sourceLinked="1"/>
        <c:majorTickMark val="out"/>
        <c:minorTickMark val="none"/>
        <c:tickLblPos val="nextTo"/>
        <c:txPr>
          <a:bodyPr/>
          <a:lstStyle/>
          <a:p>
            <a:pPr>
              <a:defRPr sz="1200" b="1"/>
            </a:pPr>
            <a:endParaRPr lang="en-US"/>
          </a:p>
        </c:txPr>
        <c:crossAx val="269414400"/>
        <c:crosses val="autoZero"/>
        <c:auto val="1"/>
        <c:lblAlgn val="ctr"/>
        <c:lblOffset val="100"/>
        <c:noMultiLvlLbl val="0"/>
      </c:catAx>
      <c:valAx>
        <c:axId val="269414400"/>
        <c:scaling>
          <c:orientation val="minMax"/>
        </c:scaling>
        <c:delete val="0"/>
        <c:axPos val="l"/>
        <c:majorGridlines/>
        <c:title>
          <c:tx>
            <c:rich>
              <a:bodyPr rot="-5400000" vert="horz"/>
              <a:lstStyle/>
              <a:p>
                <a:pPr>
                  <a:defRPr sz="1400"/>
                </a:pPr>
                <a:r>
                  <a:rPr lang="en-US" sz="1400"/>
                  <a:t>Total Cost per MW Maximum Demand</a:t>
                </a:r>
              </a:p>
            </c:rich>
          </c:tx>
          <c:layout/>
          <c:overlay val="0"/>
        </c:title>
        <c:numFmt formatCode="_-&quot;$&quot;* #,##0_-;\-&quot;$&quot;* #,##0_-;_-&quot;$&quot;* &quot;-&quot;??_-;_-@_-" sourceLinked="1"/>
        <c:majorTickMark val="out"/>
        <c:minorTickMark val="none"/>
        <c:tickLblPos val="nextTo"/>
        <c:txPr>
          <a:bodyPr/>
          <a:lstStyle/>
          <a:p>
            <a:pPr>
              <a:defRPr sz="1200" b="1"/>
            </a:pPr>
            <a:endParaRPr lang="en-US"/>
          </a:p>
        </c:txPr>
        <c:crossAx val="269395840"/>
        <c:crosses val="autoZero"/>
        <c:crossBetween val="between"/>
      </c:valAx>
    </c:plotArea>
    <c:legend>
      <c:legendPos val="r"/>
      <c:layout/>
      <c:overlay val="0"/>
      <c:txPr>
        <a:bodyPr/>
        <a:lstStyle/>
        <a:p>
          <a:pPr>
            <a:defRPr sz="1200" b="1"/>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'State Charts and data'!$A$80:$B$80</c:f>
              <c:strCache>
                <c:ptCount val="1"/>
                <c:pt idx="0">
                  <c:v>ACT</c:v>
                </c:pt>
              </c:strCache>
            </c:strRef>
          </c:tx>
          <c:spPr>
            <a:ln>
              <a:solidFill>
                <a:srgbClr val="FCC0C0"/>
              </a:solidFill>
            </a:ln>
          </c:spPr>
          <c:marker>
            <c:symbol val="x"/>
            <c:size val="5"/>
            <c:spPr>
              <a:ln w="15875">
                <a:solidFill>
                  <a:schemeClr val="accent2">
                    <a:lumMod val="60000"/>
                    <a:lumOff val="40000"/>
                  </a:schemeClr>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data'!$C$80:$M$80</c:f>
              <c:numCache>
                <c:formatCode>_-"$"* #,##0_-;\-"$"* #,##0_-;_-"$"* "-"??_-;_-@_-</c:formatCode>
                <c:ptCount val="11"/>
                <c:pt idx="0">
                  <c:v>22112.391741957177</c:v>
                </c:pt>
                <c:pt idx="1">
                  <c:v>22171.38032315917</c:v>
                </c:pt>
                <c:pt idx="2">
                  <c:v>23192.993442277857</c:v>
                </c:pt>
                <c:pt idx="3">
                  <c:v>23340.739451338643</c:v>
                </c:pt>
                <c:pt idx="4">
                  <c:v>24792.58223844942</c:v>
                </c:pt>
                <c:pt idx="5">
                  <c:v>26566.345503659228</c:v>
                </c:pt>
                <c:pt idx="6">
                  <c:v>27928.442421707365</c:v>
                </c:pt>
                <c:pt idx="7">
                  <c:v>29304.537811866427</c:v>
                </c:pt>
                <c:pt idx="8">
                  <c:v>31723.889434865025</c:v>
                </c:pt>
                <c:pt idx="9">
                  <c:v>32939.761533955876</c:v>
                </c:pt>
                <c:pt idx="10">
                  <c:v>27158.15453981575</c:v>
                </c:pt>
              </c:numCache>
            </c:numRef>
          </c:val>
          <c:smooth val="0"/>
        </c:ser>
        <c:ser>
          <c:idx val="1"/>
          <c:order val="1"/>
          <c:tx>
            <c:strRef>
              <c:f>'State Charts and data'!$A$81:$B$81</c:f>
              <c:strCache>
                <c:ptCount val="1"/>
                <c:pt idx="0">
                  <c:v>NSW</c:v>
                </c:pt>
              </c:strCache>
            </c:strRef>
          </c:tx>
          <c:spPr>
            <a:ln>
              <a:solidFill>
                <a:srgbClr val="0070C0"/>
              </a:solidFill>
            </a:ln>
          </c:spPr>
          <c:marker>
            <c:symbol val="star"/>
            <c:size val="5"/>
            <c:spPr>
              <a:ln w="15875">
                <a:solidFill>
                  <a:srgbClr val="0070C0"/>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data'!$C$81:$M$81</c:f>
              <c:numCache>
                <c:formatCode>_-"$"* #,##0_-;\-"$"* #,##0_-;_-"$"* "-"??_-;_-@_-</c:formatCode>
                <c:ptCount val="11"/>
                <c:pt idx="0">
                  <c:v>7665.2344580083627</c:v>
                </c:pt>
                <c:pt idx="1">
                  <c:v>8315.7327668681701</c:v>
                </c:pt>
                <c:pt idx="2">
                  <c:v>9988.3598293134692</c:v>
                </c:pt>
                <c:pt idx="3">
                  <c:v>9991.2423683546167</c:v>
                </c:pt>
                <c:pt idx="4">
                  <c:v>10797.495729344533</c:v>
                </c:pt>
                <c:pt idx="5">
                  <c:v>11124.858778115093</c:v>
                </c:pt>
                <c:pt idx="6">
                  <c:v>12126.414588125679</c:v>
                </c:pt>
                <c:pt idx="7">
                  <c:v>12022.21863498257</c:v>
                </c:pt>
                <c:pt idx="8">
                  <c:v>12472.393653030091</c:v>
                </c:pt>
                <c:pt idx="9">
                  <c:v>12670.438095621837</c:v>
                </c:pt>
                <c:pt idx="10">
                  <c:v>12444.722413583519</c:v>
                </c:pt>
              </c:numCache>
            </c:numRef>
          </c:val>
          <c:smooth val="0"/>
        </c:ser>
        <c:ser>
          <c:idx val="2"/>
          <c:order val="2"/>
          <c:tx>
            <c:strRef>
              <c:f>'State Charts and data'!$A$82:$B$82</c:f>
              <c:strCache>
                <c:ptCount val="1"/>
                <c:pt idx="0">
                  <c:v>QLD</c:v>
                </c:pt>
              </c:strCache>
            </c:strRef>
          </c:tx>
          <c:spPr>
            <a:ln>
              <a:solidFill>
                <a:srgbClr val="800026"/>
              </a:solidFill>
            </a:ln>
          </c:spPr>
          <c:marker>
            <c:symbol val="square"/>
            <c:size val="5"/>
            <c:spPr>
              <a:solidFill>
                <a:schemeClr val="accent2">
                  <a:lumMod val="75000"/>
                </a:schemeClr>
              </a:solidFill>
              <a:ln>
                <a:solidFill>
                  <a:schemeClr val="accent2">
                    <a:lumMod val="75000"/>
                  </a:schemeClr>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data'!$C$82:$M$82</c:f>
              <c:numCache>
                <c:formatCode>_-"$"* #,##0_-;\-"$"* #,##0_-;_-"$"* "-"??_-;_-@_-</c:formatCode>
                <c:ptCount val="11"/>
                <c:pt idx="0">
                  <c:v>7714.3854266204098</c:v>
                </c:pt>
                <c:pt idx="1">
                  <c:v>7991.4457189739614</c:v>
                </c:pt>
                <c:pt idx="2">
                  <c:v>8291.3941430107061</c:v>
                </c:pt>
                <c:pt idx="3">
                  <c:v>8324.9840492240091</c:v>
                </c:pt>
                <c:pt idx="4">
                  <c:v>8566.9251058739901</c:v>
                </c:pt>
                <c:pt idx="5">
                  <c:v>9328.7678064442516</c:v>
                </c:pt>
                <c:pt idx="6">
                  <c:v>9702.479906857925</c:v>
                </c:pt>
                <c:pt idx="7">
                  <c:v>9808.1859731953336</c:v>
                </c:pt>
                <c:pt idx="8">
                  <c:v>9843.0044954579007</c:v>
                </c:pt>
                <c:pt idx="9">
                  <c:v>10025.218514972017</c:v>
                </c:pt>
                <c:pt idx="10">
                  <c:v>9766.1045347782165</c:v>
                </c:pt>
              </c:numCache>
            </c:numRef>
          </c:val>
          <c:smooth val="0"/>
        </c:ser>
        <c:ser>
          <c:idx val="3"/>
          <c:order val="3"/>
          <c:tx>
            <c:strRef>
              <c:f>'State Charts and data'!$A$83:$B$83</c:f>
              <c:strCache>
                <c:ptCount val="1"/>
                <c:pt idx="0">
                  <c:v>SA</c:v>
                </c:pt>
              </c:strCache>
            </c:strRef>
          </c:tx>
          <c:spPr>
            <a:ln>
              <a:solidFill>
                <a:srgbClr val="FF9933"/>
              </a:solidFill>
            </a:ln>
          </c:spPr>
          <c:marker>
            <c:symbol val="diamond"/>
            <c:size val="5"/>
            <c:spPr>
              <a:solidFill>
                <a:srgbClr val="FF9933"/>
              </a:solidFill>
              <a:ln>
                <a:solidFill>
                  <a:srgbClr val="FF9933"/>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data'!$C$83:$M$83</c:f>
              <c:numCache>
                <c:formatCode>_-"$"* #,##0_-;\-"$"* #,##0_-;_-"$"* "-"??_-;_-@_-</c:formatCode>
                <c:ptCount val="11"/>
                <c:pt idx="0">
                  <c:v>5421.2867284331905</c:v>
                </c:pt>
                <c:pt idx="1">
                  <c:v>5399.0520679212614</c:v>
                </c:pt>
                <c:pt idx="2">
                  <c:v>5611.383548958016</c:v>
                </c:pt>
                <c:pt idx="3">
                  <c:v>5805.961730916556</c:v>
                </c:pt>
                <c:pt idx="4">
                  <c:v>5895.8749664076231</c:v>
                </c:pt>
                <c:pt idx="5">
                  <c:v>6163.2600818630563</c:v>
                </c:pt>
                <c:pt idx="6">
                  <c:v>6358.2383225538388</c:v>
                </c:pt>
                <c:pt idx="7">
                  <c:v>6778.3965690701461</c:v>
                </c:pt>
                <c:pt idx="8">
                  <c:v>7026.3548597113049</c:v>
                </c:pt>
                <c:pt idx="9">
                  <c:v>7372.6146104407271</c:v>
                </c:pt>
                <c:pt idx="10">
                  <c:v>6428.2231261145062</c:v>
                </c:pt>
              </c:numCache>
            </c:numRef>
          </c:val>
          <c:smooth val="0"/>
        </c:ser>
        <c:ser>
          <c:idx val="4"/>
          <c:order val="4"/>
          <c:tx>
            <c:strRef>
              <c:f>'State Charts and data'!$A$84:$B$84</c:f>
              <c:strCache>
                <c:ptCount val="1"/>
                <c:pt idx="0">
                  <c:v>TAS</c:v>
                </c:pt>
              </c:strCache>
            </c:strRef>
          </c:tx>
          <c:spPr>
            <a:ln>
              <a:solidFill>
                <a:srgbClr val="7030A0"/>
              </a:solidFill>
            </a:ln>
          </c:spPr>
          <c:marker>
            <c:symbol val="circle"/>
            <c:size val="5"/>
            <c:spPr>
              <a:solidFill>
                <a:srgbClr val="7030A0"/>
              </a:solidFill>
              <a:ln>
                <a:solidFill>
                  <a:srgbClr val="7030A0"/>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data'!$C$84:$M$84</c:f>
              <c:numCache>
                <c:formatCode>_-"$"* #,##0_-;\-"$"* #,##0_-;_-"$"* "-"??_-;_-@_-</c:formatCode>
                <c:ptCount val="11"/>
                <c:pt idx="0">
                  <c:v>7757.9465537463748</c:v>
                </c:pt>
                <c:pt idx="1">
                  <c:v>8255.692227900272</c:v>
                </c:pt>
                <c:pt idx="2">
                  <c:v>8383.2168605725328</c:v>
                </c:pt>
                <c:pt idx="3">
                  <c:v>8432.2590050450071</c:v>
                </c:pt>
                <c:pt idx="4">
                  <c:v>9489.2471847077923</c:v>
                </c:pt>
                <c:pt idx="5">
                  <c:v>9677.5870160178001</c:v>
                </c:pt>
                <c:pt idx="6">
                  <c:v>10271.592822207464</c:v>
                </c:pt>
                <c:pt idx="7">
                  <c:v>9591.3572574531518</c:v>
                </c:pt>
                <c:pt idx="8">
                  <c:v>9677.6482558452826</c:v>
                </c:pt>
                <c:pt idx="9">
                  <c:v>9339.3844534010896</c:v>
                </c:pt>
                <c:pt idx="10">
                  <c:v>9629.1927188556219</c:v>
                </c:pt>
              </c:numCache>
            </c:numRef>
          </c:val>
          <c:smooth val="0"/>
        </c:ser>
        <c:ser>
          <c:idx val="5"/>
          <c:order val="5"/>
          <c:tx>
            <c:strRef>
              <c:f>'State Charts and data'!$A$85:$B$85</c:f>
              <c:strCache>
                <c:ptCount val="1"/>
                <c:pt idx="0">
                  <c:v>VIC</c:v>
                </c:pt>
              </c:strCache>
            </c:strRef>
          </c:tx>
          <c:spPr>
            <a:ln>
              <a:solidFill>
                <a:srgbClr val="238B45"/>
              </a:solidFill>
            </a:ln>
          </c:spPr>
          <c:marker>
            <c:symbol val="triangle"/>
            <c:size val="5"/>
            <c:spPr>
              <a:solidFill>
                <a:srgbClr val="238B45"/>
              </a:solidFill>
              <a:ln>
                <a:solidFill>
                  <a:srgbClr val="238B45"/>
                </a:solidFill>
              </a:ln>
            </c:spPr>
          </c:marker>
          <c:cat>
            <c:numRef>
              <c:f>'State Charts and data'!$C$79:$M$79</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'State Charts and data'!$C$85:$M$85</c:f>
              <c:numCache>
                <c:formatCode>_-"$"* #,##0_-;\-"$"* #,##0_-;_-"$"* "-"??_-;_-@_-</c:formatCode>
                <c:ptCount val="11"/>
                <c:pt idx="0">
                  <c:v>8110.7230186976731</c:v>
                </c:pt>
                <c:pt idx="1">
                  <c:v>8407.314865327633</c:v>
                </c:pt>
                <c:pt idx="2">
                  <c:v>8421.1460052909806</c:v>
                </c:pt>
                <c:pt idx="3">
                  <c:v>8978.4266894980083</c:v>
                </c:pt>
                <c:pt idx="4">
                  <c:v>9149.7905706535566</c:v>
                </c:pt>
                <c:pt idx="5">
                  <c:v>9490.5022106302731</c:v>
                </c:pt>
                <c:pt idx="6">
                  <c:v>10287.069885473662</c:v>
                </c:pt>
                <c:pt idx="7">
                  <c:v>10879.857331667868</c:v>
                </c:pt>
                <c:pt idx="8">
                  <c:v>11022.190838471415</c:v>
                </c:pt>
                <c:pt idx="9">
                  <c:v>11555.197194185614</c:v>
                </c:pt>
                <c:pt idx="10">
                  <c:v>12525.645444240623</c:v>
                </c:pt>
              </c:numCache>
            </c:numRef>
          </c:val>
          <c:smooth val="0"/>
        </c:ser>
        <c:dLbls>
          <c:showLegendKey val="0"/>
          <c:showVal val="0"/>
          <c:showCatName val="0"/>
          <c:showSerName val="0"/>
          <c:showPercent val="0"/>
          <c:showBubbleSize val="0"/>
        </c:dLbls>
        <c:marker val="1"/>
        <c:smooth val="0"/>
        <c:axId val="269913472"/>
        <c:axId val="269923840"/>
      </c:lineChart>
      <c:catAx>
        <c:axId val="269913472"/>
        <c:scaling>
          <c:orientation val="minMax"/>
        </c:scaling>
        <c:delete val="0"/>
        <c:axPos val="b"/>
        <c:numFmt formatCode="General" sourceLinked="1"/>
        <c:majorTickMark val="out"/>
        <c:minorTickMark val="none"/>
        <c:tickLblPos val="nextTo"/>
        <c:txPr>
          <a:bodyPr/>
          <a:lstStyle/>
          <a:p>
            <a:pPr>
              <a:defRPr sz="1200" b="1"/>
            </a:pPr>
            <a:endParaRPr lang="en-US"/>
          </a:p>
        </c:txPr>
        <c:crossAx val="269923840"/>
        <c:crosses val="autoZero"/>
        <c:auto val="1"/>
        <c:lblAlgn val="ctr"/>
        <c:lblOffset val="100"/>
        <c:noMultiLvlLbl val="0"/>
      </c:catAx>
      <c:valAx>
        <c:axId val="269923840"/>
        <c:scaling>
          <c:orientation val="minMax"/>
        </c:scaling>
        <c:delete val="0"/>
        <c:axPos val="l"/>
        <c:majorGridlines/>
        <c:title>
          <c:tx>
            <c:rich>
              <a:bodyPr rot="-5400000" vert="horz"/>
              <a:lstStyle/>
              <a:p>
                <a:pPr>
                  <a:defRPr sz="1400"/>
                </a:pPr>
                <a:r>
                  <a:rPr lang="en-US" sz="1400"/>
                  <a:t>Total Cost per km Circuit Line Length</a:t>
                </a:r>
              </a:p>
            </c:rich>
          </c:tx>
          <c:layout/>
          <c:overlay val="0"/>
        </c:title>
        <c:numFmt formatCode="_-&quot;$&quot;* #,##0_-;\-&quot;$&quot;* #,##0_-;_-&quot;$&quot;* &quot;-&quot;??_-;_-@_-" sourceLinked="1"/>
        <c:majorTickMark val="out"/>
        <c:minorTickMark val="none"/>
        <c:tickLblPos val="nextTo"/>
        <c:txPr>
          <a:bodyPr/>
          <a:lstStyle/>
          <a:p>
            <a:pPr>
              <a:defRPr sz="1200" b="1"/>
            </a:pPr>
            <a:endParaRPr lang="en-US"/>
          </a:p>
        </c:txPr>
        <c:crossAx val="269913472"/>
        <c:crosses val="autoZero"/>
        <c:crossBetween val="between"/>
      </c:valAx>
    </c:plotArea>
    <c:legend>
      <c:legendPos val="r"/>
      <c:layout/>
      <c:overlay val="0"/>
      <c:txPr>
        <a:bodyPr/>
        <a:lstStyle/>
        <a:p>
          <a:pPr>
            <a:defRPr sz="1200" b="1"/>
          </a:pPr>
          <a:endParaRPr lang="en-US"/>
        </a:p>
      </c:txPr>
    </c:legend>
    <c:plotVisOnly val="1"/>
    <c:dispBlanksAs val="gap"/>
    <c:showDLblsOverMax val="0"/>
  </c:chart>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RAB!$A$26</c:f>
              <c:strCache>
                <c:ptCount val="1"/>
                <c:pt idx="0">
                  <c:v>ACT</c:v>
                </c:pt>
              </c:strCache>
            </c:strRef>
          </c:tx>
          <c:spPr>
            <a:ln>
              <a:solidFill>
                <a:srgbClr val="FCC0C0"/>
              </a:solidFill>
            </a:ln>
          </c:spPr>
          <c:marker>
            <c:symbol val="square"/>
            <c:size val="7"/>
            <c:spPr>
              <a:noFill/>
              <a:ln>
                <a:solidFill>
                  <a:srgbClr val="FCC0C0"/>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RAB!$C$26:$L$26</c:f>
              <c:numCache>
                <c:formatCode>#,##0</c:formatCode>
                <c:ptCount val="10"/>
                <c:pt idx="0">
                  <c:v>672151.14526423952</c:v>
                </c:pt>
                <c:pt idx="1">
                  <c:v>673953.29897483019</c:v>
                </c:pt>
                <c:pt idx="2">
                  <c:v>683062.51818826748</c:v>
                </c:pt>
                <c:pt idx="3">
                  <c:v>685859.46311589773</c:v>
                </c:pt>
                <c:pt idx="4">
                  <c:v>713201.43689471507</c:v>
                </c:pt>
                <c:pt idx="5">
                  <c:v>753208.98980516323</c:v>
                </c:pt>
                <c:pt idx="6">
                  <c:v>793649.99507483409</c:v>
                </c:pt>
                <c:pt idx="7">
                  <c:v>828183.65868435602</c:v>
                </c:pt>
                <c:pt idx="8">
                  <c:v>858315.10525079712</c:v>
                </c:pt>
                <c:pt idx="9">
                  <c:v>950023.81960600382</c:v>
                </c:pt>
              </c:numCache>
            </c:numRef>
          </c:val>
          <c:smooth val="0"/>
        </c:ser>
        <c:ser>
          <c:idx val="1"/>
          <c:order val="1"/>
          <c:tx>
            <c:strRef>
              <c:f>RAB!$A$27</c:f>
              <c:strCache>
                <c:ptCount val="1"/>
                <c:pt idx="0">
                  <c:v>AGD</c:v>
                </c:pt>
              </c:strCache>
            </c:strRef>
          </c:tx>
          <c:spPr>
            <a:ln>
              <a:solidFill>
                <a:srgbClr val="9ECAE1"/>
              </a:solidFill>
            </a:ln>
          </c:spPr>
          <c:marker>
            <c:symbol val="diamond"/>
            <c:size val="7"/>
            <c:spPr>
              <a:noFill/>
              <a:ln>
                <a:solidFill>
                  <a:schemeClr val="tx2">
                    <a:lumMod val="60000"/>
                    <a:lumOff val="40000"/>
                  </a:schemeClr>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RAB!$C$27:$L$27</c:f>
              <c:numCache>
                <c:formatCode>#,##0</c:formatCode>
                <c:ptCount val="10"/>
                <c:pt idx="0">
                  <c:v>6209654.1297007203</c:v>
                </c:pt>
                <c:pt idx="1">
                  <c:v>6721002.0598583147</c:v>
                </c:pt>
                <c:pt idx="2">
                  <c:v>7397225.6983803632</c:v>
                </c:pt>
                <c:pt idx="3">
                  <c:v>8183459.5848298287</c:v>
                </c:pt>
                <c:pt idx="4">
                  <c:v>9266386.1381455436</c:v>
                </c:pt>
                <c:pt idx="5">
                  <c:v>10429576.384636955</c:v>
                </c:pt>
                <c:pt idx="6">
                  <c:v>11786605.058520582</c:v>
                </c:pt>
                <c:pt idx="7">
                  <c:v>12905472.823907694</c:v>
                </c:pt>
                <c:pt idx="8">
                  <c:v>13464232.364416495</c:v>
                </c:pt>
                <c:pt idx="9">
                  <c:v>13848953.345235791</c:v>
                </c:pt>
              </c:numCache>
            </c:numRef>
          </c:val>
          <c:smooth val="0"/>
        </c:ser>
        <c:ser>
          <c:idx val="7"/>
          <c:order val="2"/>
          <c:tx>
            <c:strRef>
              <c:f>RAB!$A$28</c:f>
              <c:strCache>
                <c:ptCount val="1"/>
                <c:pt idx="0">
                  <c:v>CIT</c:v>
                </c:pt>
              </c:strCache>
            </c:strRef>
          </c:tx>
          <c:spPr>
            <a:ln>
              <a:solidFill>
                <a:srgbClr val="A1D99B"/>
              </a:solidFill>
            </a:ln>
          </c:spPr>
          <c:marker>
            <c:symbol val="square"/>
            <c:size val="5"/>
            <c:spPr>
              <a:solidFill>
                <a:srgbClr val="3C967A"/>
              </a:solidFill>
              <a:ln>
                <a:solidFill>
                  <a:srgbClr val="3C967A"/>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RAB!$C$28:$L$28</c:f>
              <c:numCache>
                <c:formatCode>#,##0</c:formatCode>
                <c:ptCount val="10"/>
                <c:pt idx="0">
                  <c:v>1014105.0699593368</c:v>
                </c:pt>
                <c:pt idx="1">
                  <c:v>1046200.12167468</c:v>
                </c:pt>
                <c:pt idx="2">
                  <c:v>1045332.1039726089</c:v>
                </c:pt>
                <c:pt idx="3">
                  <c:v>1089234.772310846</c:v>
                </c:pt>
                <c:pt idx="4">
                  <c:v>1146578.7405528894</c:v>
                </c:pt>
                <c:pt idx="5">
                  <c:v>1192254.4091435135</c:v>
                </c:pt>
                <c:pt idx="6">
                  <c:v>1274574.2337269289</c:v>
                </c:pt>
                <c:pt idx="7">
                  <c:v>1331659.9148596439</c:v>
                </c:pt>
                <c:pt idx="8">
                  <c:v>1382086.7634992118</c:v>
                </c:pt>
                <c:pt idx="9">
                  <c:v>1424278.2286438835</c:v>
                </c:pt>
              </c:numCache>
            </c:numRef>
          </c:val>
          <c:smooth val="0"/>
        </c:ser>
        <c:ser>
          <c:idx val="2"/>
          <c:order val="3"/>
          <c:tx>
            <c:strRef>
              <c:f>RAB!$A$29</c:f>
              <c:strCache>
                <c:ptCount val="1"/>
                <c:pt idx="0">
                  <c:v>END</c:v>
                </c:pt>
              </c:strCache>
            </c:strRef>
          </c:tx>
          <c:spPr>
            <a:ln>
              <a:solidFill>
                <a:srgbClr val="DEEBF7"/>
              </a:solidFill>
            </a:ln>
          </c:spPr>
          <c:marker>
            <c:symbol val="triangle"/>
            <c:size val="7"/>
            <c:spPr>
              <a:noFill/>
              <a:ln>
                <a:solidFill>
                  <a:schemeClr val="tx2">
                    <a:lumMod val="60000"/>
                    <a:lumOff val="40000"/>
                  </a:schemeClr>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RAB!$C$29:$L$29</c:f>
              <c:numCache>
                <c:formatCode>#,##0</c:formatCode>
                <c:ptCount val="10"/>
                <c:pt idx="0">
                  <c:v>2971505.6743761324</c:v>
                </c:pt>
                <c:pt idx="1">
                  <c:v>3150433.8356060633</c:v>
                </c:pt>
                <c:pt idx="2">
                  <c:v>3331259.5250121695</c:v>
                </c:pt>
                <c:pt idx="3">
                  <c:v>3508798.9032804919</c:v>
                </c:pt>
                <c:pt idx="4">
                  <c:v>3719479.8507801453</c:v>
                </c:pt>
                <c:pt idx="5">
                  <c:v>3885527.5940157711</c:v>
                </c:pt>
                <c:pt idx="6">
                  <c:v>4149667.0180644901</c:v>
                </c:pt>
                <c:pt idx="7">
                  <c:v>4484143.2712170202</c:v>
                </c:pt>
                <c:pt idx="8">
                  <c:v>4794250.8303667586</c:v>
                </c:pt>
                <c:pt idx="9">
                  <c:v>5094003.4924473222</c:v>
                </c:pt>
              </c:numCache>
            </c:numRef>
          </c:val>
          <c:smooth val="0"/>
        </c:ser>
        <c:ser>
          <c:idx val="4"/>
          <c:order val="4"/>
          <c:tx>
            <c:strRef>
              <c:f>RAB!$A$30</c:f>
              <c:strCache>
                <c:ptCount val="1"/>
                <c:pt idx="0">
                  <c:v>ENX</c:v>
                </c:pt>
              </c:strCache>
            </c:strRef>
          </c:tx>
          <c:spPr>
            <a:ln>
              <a:solidFill>
                <a:srgbClr val="BD0026"/>
              </a:solidFill>
            </a:ln>
          </c:spPr>
          <c:marker>
            <c:symbol val="star"/>
            <c:size val="7"/>
            <c:spPr>
              <a:noFill/>
              <a:ln>
                <a:solidFill>
                  <a:srgbClr val="DE2D26"/>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RAB!$C$30:$L$30</c:f>
              <c:numCache>
                <c:formatCode>#,##0</c:formatCode>
                <c:ptCount val="10"/>
                <c:pt idx="0">
                  <c:v>4497045.6119228462</c:v>
                </c:pt>
                <c:pt idx="1">
                  <c:v>4825315.4139292529</c:v>
                </c:pt>
                <c:pt idx="2">
                  <c:v>5107018.0245639943</c:v>
                </c:pt>
                <c:pt idx="3">
                  <c:v>5380400.002575269</c:v>
                </c:pt>
                <c:pt idx="4">
                  <c:v>5904178.0868537407</c:v>
                </c:pt>
                <c:pt idx="5">
                  <c:v>6427238.6098654298</c:v>
                </c:pt>
                <c:pt idx="6">
                  <c:v>6798851.0375846736</c:v>
                </c:pt>
                <c:pt idx="7">
                  <c:v>7217698.5387176918</c:v>
                </c:pt>
                <c:pt idx="8">
                  <c:v>7553287.079699018</c:v>
                </c:pt>
                <c:pt idx="9">
                  <c:v>8168271.1042916328</c:v>
                </c:pt>
              </c:numCache>
            </c:numRef>
          </c:val>
          <c:smooth val="0"/>
        </c:ser>
        <c:ser>
          <c:idx val="5"/>
          <c:order val="5"/>
          <c:tx>
            <c:strRef>
              <c:f>RAB!$A$31</c:f>
              <c:strCache>
                <c:ptCount val="1"/>
                <c:pt idx="0">
                  <c:v>ERG</c:v>
                </c:pt>
              </c:strCache>
            </c:strRef>
          </c:tx>
          <c:spPr>
            <a:ln>
              <a:solidFill>
                <a:srgbClr val="800026"/>
              </a:solidFill>
            </a:ln>
          </c:spPr>
          <c:marker>
            <c:symbol val="circle"/>
            <c:size val="7"/>
            <c:spPr>
              <a:noFill/>
              <a:ln>
                <a:solidFill>
                  <a:srgbClr val="800026"/>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RAB!$C$31:$L$31</c:f>
              <c:numCache>
                <c:formatCode>#,##0</c:formatCode>
                <c:ptCount val="10"/>
                <c:pt idx="0">
                  <c:v>5041711.2055507442</c:v>
                </c:pt>
                <c:pt idx="1">
                  <c:v>5296913.5005109208</c:v>
                </c:pt>
                <c:pt idx="2">
                  <c:v>5546585.7957062079</c:v>
                </c:pt>
                <c:pt idx="3">
                  <c:v>5723500.6670969464</c:v>
                </c:pt>
                <c:pt idx="4">
                  <c:v>6074264.7485889597</c:v>
                </c:pt>
                <c:pt idx="5">
                  <c:v>6481096.1066096462</c:v>
                </c:pt>
                <c:pt idx="6">
                  <c:v>6793951.9647891941</c:v>
                </c:pt>
                <c:pt idx="7">
                  <c:v>7109742.3238112973</c:v>
                </c:pt>
                <c:pt idx="8">
                  <c:v>7450861.5863144472</c:v>
                </c:pt>
                <c:pt idx="9">
                  <c:v>7738646.8029431133</c:v>
                </c:pt>
              </c:numCache>
            </c:numRef>
          </c:val>
          <c:smooth val="0"/>
        </c:ser>
        <c:ser>
          <c:idx val="3"/>
          <c:order val="6"/>
          <c:tx>
            <c:strRef>
              <c:f>RAB!$A$32</c:f>
              <c:strCache>
                <c:ptCount val="1"/>
                <c:pt idx="0">
                  <c:v>ESS</c:v>
                </c:pt>
              </c:strCache>
            </c:strRef>
          </c:tx>
          <c:spPr>
            <a:ln>
              <a:solidFill>
                <a:srgbClr val="C6DBEF"/>
              </a:solidFill>
            </a:ln>
          </c:spPr>
          <c:marker>
            <c:symbol val="x"/>
            <c:size val="7"/>
            <c:spPr>
              <a:noFill/>
              <a:ln>
                <a:solidFill>
                  <a:schemeClr val="tx2">
                    <a:lumMod val="60000"/>
                    <a:lumOff val="40000"/>
                  </a:schemeClr>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RAB!$C$32:$L$32</c:f>
              <c:numCache>
                <c:formatCode>#,##0</c:formatCode>
                <c:ptCount val="10"/>
                <c:pt idx="0">
                  <c:v>3446092.0388281681</c:v>
                </c:pt>
                <c:pt idx="1">
                  <c:v>3748225.5756151294</c:v>
                </c:pt>
                <c:pt idx="2">
                  <c:v>4104627.1001418205</c:v>
                </c:pt>
                <c:pt idx="3">
                  <c:v>4520067.5152600994</c:v>
                </c:pt>
                <c:pt idx="4">
                  <c:v>5049362.8308502063</c:v>
                </c:pt>
                <c:pt idx="5">
                  <c:v>5490461.0055794483</c:v>
                </c:pt>
                <c:pt idx="6">
                  <c:v>6002746.0325489938</c:v>
                </c:pt>
                <c:pt idx="7">
                  <c:v>6466074.3019601116</c:v>
                </c:pt>
                <c:pt idx="8">
                  <c:v>6692657.2750079045</c:v>
                </c:pt>
                <c:pt idx="9">
                  <c:v>6942222.7992846752</c:v>
                </c:pt>
              </c:numCache>
            </c:numRef>
          </c:val>
          <c:smooth val="0"/>
        </c:ser>
        <c:ser>
          <c:idx val="9"/>
          <c:order val="7"/>
          <c:tx>
            <c:strRef>
              <c:f>RAB!$A$33</c:f>
              <c:strCache>
                <c:ptCount val="1"/>
                <c:pt idx="0">
                  <c:v>JEN</c:v>
                </c:pt>
              </c:strCache>
            </c:strRef>
          </c:tx>
          <c:spPr>
            <a:ln>
              <a:solidFill>
                <a:srgbClr val="41AB5D"/>
              </a:solidFill>
            </a:ln>
          </c:spPr>
          <c:marker>
            <c:symbol val="triangle"/>
            <c:size val="5"/>
            <c:spPr>
              <a:solidFill>
                <a:srgbClr val="3C967A"/>
              </a:solidFill>
              <a:ln>
                <a:solidFill>
                  <a:srgbClr val="3C967A"/>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RAB!$C$33:$L$33</c:f>
              <c:numCache>
                <c:formatCode>#,##0</c:formatCode>
                <c:ptCount val="10"/>
                <c:pt idx="0">
                  <c:v>611953.79825296183</c:v>
                </c:pt>
                <c:pt idx="1">
                  <c:v>648227.35754380911</c:v>
                </c:pt>
                <c:pt idx="2">
                  <c:v>652955.46722525021</c:v>
                </c:pt>
                <c:pt idx="3">
                  <c:v>685356.68183571566</c:v>
                </c:pt>
                <c:pt idx="4">
                  <c:v>709016.8534635281</c:v>
                </c:pt>
                <c:pt idx="5">
                  <c:v>747929.98750041239</c:v>
                </c:pt>
                <c:pt idx="6">
                  <c:v>838777.26073725859</c:v>
                </c:pt>
                <c:pt idx="7">
                  <c:v>906508.00916168909</c:v>
                </c:pt>
                <c:pt idx="8">
                  <c:v>954882.58748214063</c:v>
                </c:pt>
                <c:pt idx="9">
                  <c:v>1022764.5554309976</c:v>
                </c:pt>
              </c:numCache>
            </c:numRef>
          </c:val>
          <c:smooth val="0"/>
        </c:ser>
        <c:ser>
          <c:idx val="8"/>
          <c:order val="8"/>
          <c:tx>
            <c:strRef>
              <c:f>RAB!$A$34</c:f>
              <c:strCache>
                <c:ptCount val="1"/>
                <c:pt idx="0">
                  <c:v>PCR</c:v>
                </c:pt>
              </c:strCache>
            </c:strRef>
          </c:tx>
          <c:spPr>
            <a:ln>
              <a:solidFill>
                <a:srgbClr val="74C476"/>
              </a:solidFill>
            </a:ln>
          </c:spPr>
          <c:marker>
            <c:symbol val="diamond"/>
            <c:size val="5"/>
            <c:spPr>
              <a:solidFill>
                <a:srgbClr val="3C967A"/>
              </a:solidFill>
              <a:ln>
                <a:solidFill>
                  <a:srgbClr val="3C967A"/>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RAB!$C$34:$L$34</c:f>
              <c:numCache>
                <c:formatCode>#,##0</c:formatCode>
                <c:ptCount val="10"/>
                <c:pt idx="0">
                  <c:v>1683986.9916924443</c:v>
                </c:pt>
                <c:pt idx="1">
                  <c:v>1780183.5175710556</c:v>
                </c:pt>
                <c:pt idx="2">
                  <c:v>1821711.1213494649</c:v>
                </c:pt>
                <c:pt idx="3">
                  <c:v>1920747.1566909254</c:v>
                </c:pt>
                <c:pt idx="4">
                  <c:v>2019300.4607365832</c:v>
                </c:pt>
                <c:pt idx="5">
                  <c:v>2098860.0207084836</c:v>
                </c:pt>
                <c:pt idx="6">
                  <c:v>2271797.0347480136</c:v>
                </c:pt>
                <c:pt idx="7">
                  <c:v>2421493.7393423007</c:v>
                </c:pt>
                <c:pt idx="8">
                  <c:v>2557035.4036110654</c:v>
                </c:pt>
                <c:pt idx="9">
                  <c:v>2694437.661080549</c:v>
                </c:pt>
              </c:numCache>
            </c:numRef>
          </c:val>
          <c:smooth val="0"/>
        </c:ser>
        <c:ser>
          <c:idx val="6"/>
          <c:order val="9"/>
          <c:tx>
            <c:strRef>
              <c:f>RAB!$A$35</c:f>
              <c:strCache>
                <c:ptCount val="1"/>
                <c:pt idx="0">
                  <c:v>SAPN</c:v>
                </c:pt>
              </c:strCache>
            </c:strRef>
          </c:tx>
          <c:spPr>
            <a:ln>
              <a:solidFill>
                <a:srgbClr val="FD8D3C"/>
              </a:solidFill>
            </a:ln>
          </c:spPr>
          <c:marker>
            <c:symbol val="plus"/>
            <c:size val="7"/>
            <c:spPr>
              <a:noFill/>
              <a:ln>
                <a:solidFill>
                  <a:srgbClr val="FD8D3C"/>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RAB!$C$35:$L$35</c:f>
              <c:numCache>
                <c:formatCode>#,##0</c:formatCode>
                <c:ptCount val="10"/>
                <c:pt idx="0">
                  <c:v>3305164.5968132275</c:v>
                </c:pt>
                <c:pt idx="1">
                  <c:v>3261706.9359342605</c:v>
                </c:pt>
                <c:pt idx="2">
                  <c:v>3219207.1367359557</c:v>
                </c:pt>
                <c:pt idx="3">
                  <c:v>3167113.3502108315</c:v>
                </c:pt>
                <c:pt idx="4">
                  <c:v>3141221.4513304289</c:v>
                </c:pt>
                <c:pt idx="5">
                  <c:v>3169500.5890553128</c:v>
                </c:pt>
                <c:pt idx="6">
                  <c:v>3279131.5219761301</c:v>
                </c:pt>
                <c:pt idx="7">
                  <c:v>3415232.046323623</c:v>
                </c:pt>
                <c:pt idx="8">
                  <c:v>3515568.1060828348</c:v>
                </c:pt>
                <c:pt idx="9">
                  <c:v>3599551.6077653267</c:v>
                </c:pt>
              </c:numCache>
            </c:numRef>
          </c:val>
          <c:smooth val="0"/>
        </c:ser>
        <c:ser>
          <c:idx val="10"/>
          <c:order val="10"/>
          <c:tx>
            <c:strRef>
              <c:f>RAB!$A$36</c:f>
              <c:strCache>
                <c:ptCount val="1"/>
                <c:pt idx="0">
                  <c:v>AND</c:v>
                </c:pt>
              </c:strCache>
            </c:strRef>
          </c:tx>
          <c:spPr>
            <a:ln>
              <a:solidFill>
                <a:srgbClr val="238B45"/>
              </a:solidFill>
            </a:ln>
          </c:spPr>
          <c:marker>
            <c:symbol val="plus"/>
            <c:size val="5"/>
            <c:spPr>
              <a:solidFill>
                <a:srgbClr val="A1D99B"/>
              </a:solidFill>
              <a:ln>
                <a:solidFill>
                  <a:srgbClr val="238B45"/>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RAB!$C$36:$L$36</c:f>
              <c:numCache>
                <c:formatCode>#,##0</c:formatCode>
                <c:ptCount val="10"/>
                <c:pt idx="0">
                  <c:v>1684131.1447562175</c:v>
                </c:pt>
                <c:pt idx="1">
                  <c:v>1785734.6158308738</c:v>
                </c:pt>
                <c:pt idx="2">
                  <c:v>1865314.7079171692</c:v>
                </c:pt>
                <c:pt idx="3">
                  <c:v>2062359.6678020617</c:v>
                </c:pt>
                <c:pt idx="4">
                  <c:v>2259719.6999567957</c:v>
                </c:pt>
                <c:pt idx="5">
                  <c:v>2413992.5560743604</c:v>
                </c:pt>
                <c:pt idx="6">
                  <c:v>2650859.5255123042</c:v>
                </c:pt>
                <c:pt idx="7">
                  <c:v>2899947.6938127074</c:v>
                </c:pt>
                <c:pt idx="8">
                  <c:v>3140996.0450832611</c:v>
                </c:pt>
                <c:pt idx="9">
                  <c:v>3404703.8668986219</c:v>
                </c:pt>
              </c:numCache>
            </c:numRef>
          </c:val>
          <c:smooth val="0"/>
        </c:ser>
        <c:ser>
          <c:idx val="12"/>
          <c:order val="11"/>
          <c:tx>
            <c:strRef>
              <c:f>RAB!$A$37</c:f>
              <c:strCache>
                <c:ptCount val="1"/>
                <c:pt idx="0">
                  <c:v>TND</c:v>
                </c:pt>
              </c:strCache>
            </c:strRef>
          </c:tx>
          <c:spPr>
            <a:ln>
              <a:solidFill>
                <a:srgbClr val="E7E1EF"/>
              </a:solidFill>
            </a:ln>
          </c:spPr>
          <c:marker>
            <c:symbol val="circle"/>
            <c:size val="5"/>
            <c:spPr>
              <a:solidFill>
                <a:srgbClr val="604A7B"/>
              </a:solidFill>
              <a:ln>
                <a:solidFill>
                  <a:srgbClr val="604A7B"/>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RAB!$C$37:$L$37</c:f>
              <c:numCache>
                <c:formatCode>#,##0</c:formatCode>
                <c:ptCount val="10"/>
                <c:pt idx="0">
                  <c:v>1027770.0306826298</c:v>
                </c:pt>
                <c:pt idx="1">
                  <c:v>1076847.3398160315</c:v>
                </c:pt>
                <c:pt idx="2">
                  <c:v>1123475.2696973751</c:v>
                </c:pt>
                <c:pt idx="3">
                  <c:v>1188282.4440690614</c:v>
                </c:pt>
                <c:pt idx="4">
                  <c:v>1284529.5686503605</c:v>
                </c:pt>
                <c:pt idx="5">
                  <c:v>1364313.7473195486</c:v>
                </c:pt>
                <c:pt idx="6">
                  <c:v>1424995.122266148</c:v>
                </c:pt>
                <c:pt idx="7">
                  <c:v>1458594.4356799759</c:v>
                </c:pt>
                <c:pt idx="8">
                  <c:v>1469614.7580997413</c:v>
                </c:pt>
                <c:pt idx="9">
                  <c:v>1500035.2793994443</c:v>
                </c:pt>
              </c:numCache>
            </c:numRef>
          </c:val>
          <c:smooth val="0"/>
        </c:ser>
        <c:ser>
          <c:idx val="11"/>
          <c:order val="12"/>
          <c:tx>
            <c:strRef>
              <c:f>RAB!$A$38</c:f>
              <c:strCache>
                <c:ptCount val="1"/>
                <c:pt idx="0">
                  <c:v>UED</c:v>
                </c:pt>
              </c:strCache>
            </c:strRef>
          </c:tx>
          <c:spPr>
            <a:ln>
              <a:solidFill>
                <a:srgbClr val="006D2C"/>
              </a:solidFill>
            </a:ln>
          </c:spPr>
          <c:marker>
            <c:symbol val="star"/>
            <c:size val="5"/>
            <c:spPr>
              <a:solidFill>
                <a:srgbClr val="3C967A"/>
              </a:solidFill>
              <a:ln>
                <a:solidFill>
                  <a:srgbClr val="A1D99B"/>
                </a:solidFill>
              </a:ln>
            </c:spPr>
          </c:marker>
          <c:cat>
            <c:numRef>
              <c:f>RAB!$C$9:$L$9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RAB!$C$38:$L$38</c:f>
              <c:numCache>
                <c:formatCode>#,##0</c:formatCode>
                <c:ptCount val="10"/>
                <c:pt idx="0">
                  <c:v>1375890.5294783385</c:v>
                </c:pt>
                <c:pt idx="1">
                  <c:v>1400697.742207191</c:v>
                </c:pt>
                <c:pt idx="2">
                  <c:v>1375655.709989401</c:v>
                </c:pt>
                <c:pt idx="3">
                  <c:v>1418936.2510405043</c:v>
                </c:pt>
                <c:pt idx="4">
                  <c:v>1459944.8807261451</c:v>
                </c:pt>
                <c:pt idx="5">
                  <c:v>1525278.2131167743</c:v>
                </c:pt>
                <c:pt idx="6">
                  <c:v>1678459.9823438954</c:v>
                </c:pt>
                <c:pt idx="7">
                  <c:v>1789285.3002137046</c:v>
                </c:pt>
                <c:pt idx="8">
                  <c:v>1871107.6340956476</c:v>
                </c:pt>
                <c:pt idx="9">
                  <c:v>1977014.1413674981</c:v>
                </c:pt>
              </c:numCache>
            </c:numRef>
          </c:val>
          <c:smooth val="0"/>
        </c:ser>
        <c:dLbls>
          <c:showLegendKey val="0"/>
          <c:showVal val="0"/>
          <c:showCatName val="0"/>
          <c:showSerName val="0"/>
          <c:showPercent val="0"/>
          <c:showBubbleSize val="0"/>
        </c:dLbls>
        <c:marker val="1"/>
        <c:smooth val="0"/>
        <c:axId val="212651392"/>
        <c:axId val="258020864"/>
      </c:lineChart>
      <c:catAx>
        <c:axId val="212651392"/>
        <c:scaling>
          <c:orientation val="minMax"/>
        </c:scaling>
        <c:delete val="0"/>
        <c:axPos val="b"/>
        <c:numFmt formatCode="General" sourceLinked="1"/>
        <c:majorTickMark val="out"/>
        <c:minorTickMark val="none"/>
        <c:tickLblPos val="nextTo"/>
        <c:crossAx val="258020864"/>
        <c:crosses val="autoZero"/>
        <c:auto val="1"/>
        <c:lblAlgn val="ctr"/>
        <c:lblOffset val="100"/>
        <c:noMultiLvlLbl val="0"/>
      </c:catAx>
      <c:valAx>
        <c:axId val="258020864"/>
        <c:scaling>
          <c:orientation val="minMax"/>
        </c:scaling>
        <c:delete val="0"/>
        <c:axPos val="l"/>
        <c:majorGridlines/>
        <c:title>
          <c:tx>
            <c:rich>
              <a:bodyPr rot="-5400000" vert="horz"/>
              <a:lstStyle/>
              <a:p>
                <a:pPr>
                  <a:defRPr/>
                </a:pPr>
                <a:r>
                  <a:rPr lang="en-AU" sz="1000" b="1" i="0" u="none" strike="noStrike" baseline="0">
                    <a:effectLst/>
                  </a:rPr>
                  <a:t>RAB ($ 2015)</a:t>
                </a:r>
                <a:r>
                  <a:rPr lang="en-AU" sz="1000" b="1" i="0" u="none" strike="noStrike" baseline="0"/>
                  <a:t> </a:t>
                </a:r>
                <a:endParaRPr lang="en-AU"/>
              </a:p>
            </c:rich>
          </c:tx>
          <c:overlay val="0"/>
        </c:title>
        <c:numFmt formatCode="&quot;$&quot;#,##0" sourceLinked="0"/>
        <c:majorTickMark val="out"/>
        <c:minorTickMark val="none"/>
        <c:tickLblPos val="nextTo"/>
        <c:crossAx val="212651392"/>
        <c:crosses val="autoZero"/>
        <c:crossBetween val="between"/>
        <c:dispUnits>
          <c:builtInUnit val="thousands"/>
        </c:dispUnits>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scatterChart>
        <c:scatterStyle val="lineMarker"/>
        <c:varyColors val="0"/>
        <c:ser>
          <c:idx val="0"/>
          <c:order val="0"/>
          <c:spPr>
            <a:ln w="28575">
              <a:noFill/>
            </a:ln>
          </c:spPr>
          <c:marker>
            <c:symbol val="square"/>
            <c:size val="9"/>
            <c:spPr>
              <a:ln>
                <a:solidFill>
                  <a:schemeClr val="tx1"/>
                </a:solidFill>
              </a:ln>
            </c:spPr>
          </c:marker>
          <c:dPt>
            <c:idx val="0"/>
            <c:marker>
              <c:spPr>
                <a:solidFill>
                  <a:srgbClr val="FCC0C0"/>
                </a:solidFill>
                <a:ln>
                  <a:solidFill>
                    <a:schemeClr val="tx1"/>
                  </a:solidFill>
                </a:ln>
              </c:spPr>
            </c:marker>
            <c:bubble3D val="0"/>
          </c:dPt>
          <c:dPt>
            <c:idx val="1"/>
            <c:marker>
              <c:spPr>
                <a:solidFill>
                  <a:srgbClr val="558ED5"/>
                </a:solidFill>
                <a:ln>
                  <a:solidFill>
                    <a:schemeClr val="tx1"/>
                  </a:solidFill>
                </a:ln>
              </c:spPr>
            </c:marker>
            <c:bubble3D val="0"/>
          </c:dPt>
          <c:dPt>
            <c:idx val="2"/>
            <c:marker>
              <c:spPr>
                <a:solidFill>
                  <a:srgbClr val="A1D99B"/>
                </a:solidFill>
                <a:ln>
                  <a:solidFill>
                    <a:schemeClr val="tx1"/>
                  </a:solidFill>
                </a:ln>
              </c:spPr>
            </c:marker>
            <c:bubble3D val="0"/>
          </c:dPt>
          <c:dPt>
            <c:idx val="3"/>
            <c:marker>
              <c:spPr>
                <a:solidFill>
                  <a:srgbClr val="558ED5"/>
                </a:solidFill>
                <a:ln>
                  <a:solidFill>
                    <a:schemeClr val="tx1"/>
                  </a:solidFill>
                </a:ln>
              </c:spPr>
            </c:marker>
            <c:bubble3D val="0"/>
          </c:dPt>
          <c:dPt>
            <c:idx val="4"/>
            <c:marker>
              <c:spPr>
                <a:solidFill>
                  <a:srgbClr val="BD0026"/>
                </a:solidFill>
                <a:ln>
                  <a:solidFill>
                    <a:schemeClr val="tx1"/>
                  </a:solidFill>
                </a:ln>
              </c:spPr>
            </c:marker>
            <c:bubble3D val="0"/>
          </c:dPt>
          <c:dPt>
            <c:idx val="5"/>
            <c:marker>
              <c:spPr>
                <a:solidFill>
                  <a:srgbClr val="C00000"/>
                </a:solidFill>
                <a:ln>
                  <a:solidFill>
                    <a:schemeClr val="tx1"/>
                  </a:solidFill>
                </a:ln>
              </c:spPr>
            </c:marker>
            <c:bubble3D val="0"/>
          </c:dPt>
          <c:dPt>
            <c:idx val="6"/>
            <c:marker>
              <c:spPr>
                <a:solidFill>
                  <a:srgbClr val="558ED5"/>
                </a:solidFill>
                <a:ln>
                  <a:solidFill>
                    <a:schemeClr val="tx1"/>
                  </a:solidFill>
                </a:ln>
              </c:spPr>
            </c:marker>
            <c:bubble3D val="0"/>
          </c:dPt>
          <c:dPt>
            <c:idx val="7"/>
            <c:marker>
              <c:spPr>
                <a:solidFill>
                  <a:srgbClr val="A1D99B"/>
                </a:solidFill>
                <a:ln>
                  <a:solidFill>
                    <a:schemeClr val="tx1"/>
                  </a:solidFill>
                </a:ln>
              </c:spPr>
            </c:marker>
            <c:bubble3D val="0"/>
          </c:dPt>
          <c:dPt>
            <c:idx val="8"/>
            <c:marker>
              <c:spPr>
                <a:solidFill>
                  <a:srgbClr val="A1D99B"/>
                </a:solidFill>
                <a:ln>
                  <a:solidFill>
                    <a:schemeClr val="tx1"/>
                  </a:solidFill>
                </a:ln>
              </c:spPr>
            </c:marker>
            <c:bubble3D val="0"/>
          </c:dPt>
          <c:dPt>
            <c:idx val="9"/>
            <c:marker>
              <c:spPr>
                <a:solidFill>
                  <a:srgbClr val="FD8D3C"/>
                </a:solidFill>
                <a:ln>
                  <a:solidFill>
                    <a:schemeClr val="tx1"/>
                  </a:solidFill>
                </a:ln>
              </c:spPr>
            </c:marker>
            <c:bubble3D val="0"/>
          </c:dPt>
          <c:dPt>
            <c:idx val="10"/>
            <c:marker>
              <c:spPr>
                <a:solidFill>
                  <a:srgbClr val="A1D99B"/>
                </a:solidFill>
                <a:ln>
                  <a:solidFill>
                    <a:schemeClr val="tx1"/>
                  </a:solidFill>
                </a:ln>
              </c:spPr>
            </c:marker>
            <c:bubble3D val="0"/>
          </c:dPt>
          <c:dPt>
            <c:idx val="11"/>
            <c:marker>
              <c:spPr>
                <a:solidFill>
                  <a:schemeClr val="accent4">
                    <a:lumMod val="60000"/>
                    <a:lumOff val="40000"/>
                  </a:schemeClr>
                </a:solidFill>
                <a:ln>
                  <a:solidFill>
                    <a:schemeClr val="tx1"/>
                  </a:solidFill>
                </a:ln>
              </c:spPr>
            </c:marker>
            <c:bubble3D val="0"/>
          </c:dPt>
          <c:dPt>
            <c:idx val="12"/>
            <c:marker>
              <c:spPr>
                <a:solidFill>
                  <a:srgbClr val="A1D99B"/>
                </a:solidFill>
                <a:ln>
                  <a:solidFill>
                    <a:schemeClr val="tx1"/>
                  </a:solidFill>
                </a:ln>
              </c:spPr>
            </c:marker>
            <c:bubble3D val="0"/>
          </c:dPt>
          <c:dLbls>
            <c:dLbl>
              <c:idx val="0"/>
              <c:layout/>
              <c:tx>
                <c:rich>
                  <a:bodyPr/>
                  <a:lstStyle/>
                  <a:p>
                    <a:r>
                      <a:rPr lang="en-AU" b="1"/>
                      <a:t>ACT</a:t>
                    </a:r>
                    <a:endParaRPr lang="en-AU"/>
                  </a:p>
                </c:rich>
              </c:tx>
              <c:dLblPos val="r"/>
              <c:showLegendKey val="0"/>
              <c:showVal val="1"/>
              <c:showCatName val="0"/>
              <c:showSerName val="0"/>
              <c:showPercent val="0"/>
              <c:showBubbleSize val="0"/>
            </c:dLbl>
            <c:dLbl>
              <c:idx val="1"/>
              <c:layout/>
              <c:tx>
                <c:rich>
                  <a:bodyPr/>
                  <a:lstStyle/>
                  <a:p>
                    <a:r>
                      <a:rPr lang="en-AU" b="1"/>
                      <a:t>AGD</a:t>
                    </a:r>
                    <a:endParaRPr lang="en-AU"/>
                  </a:p>
                </c:rich>
              </c:tx>
              <c:dLblPos val="r"/>
              <c:showLegendKey val="0"/>
              <c:showVal val="1"/>
              <c:showCatName val="0"/>
              <c:showSerName val="0"/>
              <c:showPercent val="0"/>
              <c:showBubbleSize val="0"/>
            </c:dLbl>
            <c:dLbl>
              <c:idx val="2"/>
              <c:layout/>
              <c:tx>
                <c:rich>
                  <a:bodyPr/>
                  <a:lstStyle/>
                  <a:p>
                    <a:r>
                      <a:rPr lang="en-AU" b="1"/>
                      <a:t>CIT</a:t>
                    </a:r>
                    <a:endParaRPr lang="en-AU"/>
                  </a:p>
                </c:rich>
              </c:tx>
              <c:dLblPos val="r"/>
              <c:showLegendKey val="0"/>
              <c:showVal val="1"/>
              <c:showCatName val="0"/>
              <c:showSerName val="0"/>
              <c:showPercent val="0"/>
              <c:showBubbleSize val="0"/>
            </c:dLbl>
            <c:dLbl>
              <c:idx val="3"/>
              <c:layout/>
              <c:tx>
                <c:rich>
                  <a:bodyPr/>
                  <a:lstStyle/>
                  <a:p>
                    <a:r>
                      <a:rPr lang="en-AU" b="1"/>
                      <a:t>END</a:t>
                    </a:r>
                    <a:endParaRPr lang="en-AU"/>
                  </a:p>
                </c:rich>
              </c:tx>
              <c:dLblPos val="r"/>
              <c:showLegendKey val="0"/>
              <c:showVal val="1"/>
              <c:showCatName val="0"/>
              <c:showSerName val="0"/>
              <c:showPercent val="0"/>
              <c:showBubbleSize val="0"/>
            </c:dLbl>
            <c:dLbl>
              <c:idx val="4"/>
              <c:layout>
                <c:manualLayout>
                  <c:x val="-3.3386904601987309E-2"/>
                  <c:y val="-4.880658982021932E-2"/>
                </c:manualLayout>
              </c:layout>
              <c:tx>
                <c:rich>
                  <a:bodyPr/>
                  <a:lstStyle/>
                  <a:p>
                    <a:r>
                      <a:rPr lang="en-AU" b="1"/>
                      <a:t>ENX</a:t>
                    </a:r>
                    <a:endParaRPr lang="en-AU"/>
                  </a:p>
                </c:rich>
              </c:tx>
              <c:dLblPos val="r"/>
              <c:showLegendKey val="0"/>
              <c:showVal val="1"/>
              <c:showCatName val="0"/>
              <c:showSerName val="0"/>
              <c:showPercent val="0"/>
              <c:showBubbleSize val="0"/>
            </c:dLbl>
            <c:dLbl>
              <c:idx val="5"/>
              <c:layout/>
              <c:tx>
                <c:rich>
                  <a:bodyPr/>
                  <a:lstStyle/>
                  <a:p>
                    <a:r>
                      <a:rPr lang="en-AU" b="1"/>
                      <a:t>ERG</a:t>
                    </a:r>
                    <a:endParaRPr lang="en-AU"/>
                  </a:p>
                </c:rich>
              </c:tx>
              <c:dLblPos val="r"/>
              <c:showLegendKey val="0"/>
              <c:showVal val="1"/>
              <c:showCatName val="0"/>
              <c:showSerName val="0"/>
              <c:showPercent val="0"/>
              <c:showBubbleSize val="0"/>
            </c:dLbl>
            <c:dLbl>
              <c:idx val="6"/>
              <c:layout/>
              <c:tx>
                <c:rich>
                  <a:bodyPr/>
                  <a:lstStyle/>
                  <a:p>
                    <a:r>
                      <a:rPr lang="en-AU" b="1"/>
                      <a:t>ESS</a:t>
                    </a:r>
                    <a:endParaRPr lang="en-AU"/>
                  </a:p>
                </c:rich>
              </c:tx>
              <c:dLblPos val="r"/>
              <c:showLegendKey val="0"/>
              <c:showVal val="1"/>
              <c:showCatName val="0"/>
              <c:showSerName val="0"/>
              <c:showPercent val="0"/>
              <c:showBubbleSize val="0"/>
            </c:dLbl>
            <c:dLbl>
              <c:idx val="7"/>
              <c:layout/>
              <c:tx>
                <c:rich>
                  <a:bodyPr/>
                  <a:lstStyle/>
                  <a:p>
                    <a:r>
                      <a:rPr lang="en-AU" b="1"/>
                      <a:t>JEN</a:t>
                    </a:r>
                    <a:endParaRPr lang="en-AU"/>
                  </a:p>
                </c:rich>
              </c:tx>
              <c:dLblPos val="r"/>
              <c:showLegendKey val="0"/>
              <c:showVal val="1"/>
              <c:showCatName val="0"/>
              <c:showSerName val="0"/>
              <c:showPercent val="0"/>
              <c:showBubbleSize val="0"/>
            </c:dLbl>
            <c:dLbl>
              <c:idx val="8"/>
              <c:layout/>
              <c:tx>
                <c:rich>
                  <a:bodyPr/>
                  <a:lstStyle/>
                  <a:p>
                    <a:r>
                      <a:rPr lang="en-AU" b="1"/>
                      <a:t>PCR</a:t>
                    </a:r>
                    <a:endParaRPr lang="en-AU"/>
                  </a:p>
                </c:rich>
              </c:tx>
              <c:dLblPos val="r"/>
              <c:showLegendKey val="0"/>
              <c:showVal val="1"/>
              <c:showCatName val="0"/>
              <c:showSerName val="0"/>
              <c:showPercent val="0"/>
              <c:showBubbleSize val="0"/>
            </c:dLbl>
            <c:dLbl>
              <c:idx val="9"/>
              <c:layout/>
              <c:tx>
                <c:rich>
                  <a:bodyPr/>
                  <a:lstStyle/>
                  <a:p>
                    <a:r>
                      <a:rPr lang="en-AU" b="1"/>
                      <a:t>SAPN</a:t>
                    </a:r>
                    <a:endParaRPr lang="en-AU"/>
                  </a:p>
                </c:rich>
              </c:tx>
              <c:dLblPos val="l"/>
              <c:showLegendKey val="0"/>
              <c:showVal val="1"/>
              <c:showCatName val="0"/>
              <c:showSerName val="0"/>
              <c:showPercent val="0"/>
              <c:showBubbleSize val="0"/>
            </c:dLbl>
            <c:dLbl>
              <c:idx val="10"/>
              <c:layout/>
              <c:tx>
                <c:rich>
                  <a:bodyPr/>
                  <a:lstStyle/>
                  <a:p>
                    <a:r>
                      <a:rPr lang="en-AU" b="1"/>
                      <a:t>AND</a:t>
                    </a:r>
                    <a:endParaRPr lang="en-AU"/>
                  </a:p>
                </c:rich>
              </c:tx>
              <c:dLblPos val="r"/>
              <c:showLegendKey val="0"/>
              <c:showVal val="1"/>
              <c:showCatName val="0"/>
              <c:showSerName val="0"/>
              <c:showPercent val="0"/>
              <c:showBubbleSize val="0"/>
            </c:dLbl>
            <c:dLbl>
              <c:idx val="11"/>
              <c:layout/>
              <c:tx>
                <c:rich>
                  <a:bodyPr/>
                  <a:lstStyle/>
                  <a:p>
                    <a:r>
                      <a:rPr lang="en-AU" b="1"/>
                      <a:t>TND</a:t>
                    </a:r>
                    <a:endParaRPr lang="en-AU"/>
                  </a:p>
                </c:rich>
              </c:tx>
              <c:dLblPos val="r"/>
              <c:showLegendKey val="0"/>
              <c:showVal val="1"/>
              <c:showCatName val="0"/>
              <c:showSerName val="0"/>
              <c:showPercent val="0"/>
              <c:showBubbleSize val="0"/>
            </c:dLbl>
            <c:dLbl>
              <c:idx val="12"/>
              <c:layout/>
              <c:tx>
                <c:rich>
                  <a:bodyPr/>
                  <a:lstStyle/>
                  <a:p>
                    <a:r>
                      <a:rPr lang="en-AU" b="1"/>
                      <a:t>UED</a:t>
                    </a:r>
                    <a:endParaRPr lang="en-AU"/>
                  </a:p>
                </c:rich>
              </c:tx>
              <c:dLblPos val="r"/>
              <c:showLegendKey val="0"/>
              <c:showVal val="1"/>
              <c:showCatName val="0"/>
              <c:showSerName val="0"/>
              <c:showPercent val="0"/>
              <c:showBubbleSize val="0"/>
            </c:dLbl>
            <c:txPr>
              <a:bodyPr/>
              <a:lstStyle/>
              <a:p>
                <a:pPr>
                  <a:defRPr sz="1200" b="1"/>
                </a:pPr>
                <a:endParaRPr lang="en-US"/>
              </a:p>
            </c:txPr>
            <c:dLblPos val="r"/>
            <c:showLegendKey val="0"/>
            <c:showVal val="1"/>
            <c:showCatName val="0"/>
            <c:showSerName val="0"/>
            <c:showPercent val="0"/>
            <c:showBubbleSize val="0"/>
            <c:showLeaderLines val="0"/>
          </c:dLbls>
          <c:xVal>
            <c:numRef>
              <c:f>Analysis!$L$3:$L$15</c:f>
              <c:numCache>
                <c:formatCode>#,##0.00</c:formatCode>
                <c:ptCount val="13"/>
                <c:pt idx="0">
                  <c:v>44.032043856129668</c:v>
                </c:pt>
                <c:pt idx="1">
                  <c:v>43.85116936254196</c:v>
                </c:pt>
                <c:pt idx="2">
                  <c:v>103.17487904768937</c:v>
                </c:pt>
                <c:pt idx="3">
                  <c:v>33.543764948340595</c:v>
                </c:pt>
                <c:pt idx="4">
                  <c:v>32.164931741978052</c:v>
                </c:pt>
                <c:pt idx="5">
                  <c:v>5.097219926915761</c:v>
                </c:pt>
                <c:pt idx="6">
                  <c:v>4.7326093149031276</c:v>
                </c:pt>
                <c:pt idx="7">
                  <c:v>72.280758328830345</c:v>
                </c:pt>
                <c:pt idx="8">
                  <c:v>11.450519570884238</c:v>
                </c:pt>
                <c:pt idx="9">
                  <c:v>10.470859357299215</c:v>
                </c:pt>
                <c:pt idx="10">
                  <c:v>18.033729499698328</c:v>
                </c:pt>
                <c:pt idx="11">
                  <c:v>13.829330883742543</c:v>
                </c:pt>
                <c:pt idx="12">
                  <c:v>65.062713156514363</c:v>
                </c:pt>
              </c:numCache>
            </c:numRef>
          </c:xVal>
          <c:yVal>
            <c:numRef>
              <c:f>Analysis!$Q$3:$Q$15</c:f>
              <c:numCache>
                <c:formatCode>"$"#,##0</c:formatCode>
                <c:ptCount val="13"/>
                <c:pt idx="0">
                  <c:v>865.19183584451071</c:v>
                </c:pt>
                <c:pt idx="1">
                  <c:v>990.19473758856225</c:v>
                </c:pt>
                <c:pt idx="2">
                  <c:v>569.99500625463133</c:v>
                </c:pt>
                <c:pt idx="3">
                  <c:v>733.46726002428352</c:v>
                </c:pt>
                <c:pt idx="4">
                  <c:v>732.76696669711907</c:v>
                </c:pt>
                <c:pt idx="5">
                  <c:v>1383.7901777820837</c:v>
                </c:pt>
                <c:pt idx="6">
                  <c:v>1148.9121722764421</c:v>
                </c:pt>
                <c:pt idx="7">
                  <c:v>553.71341651775538</c:v>
                </c:pt>
                <c:pt idx="8">
                  <c:v>564.39309897395731</c:v>
                </c:pt>
                <c:pt idx="9">
                  <c:v>703.20601084004011</c:v>
                </c:pt>
                <c:pt idx="10">
                  <c:v>690.35243746603953</c:v>
                </c:pt>
                <c:pt idx="11">
                  <c:v>774.43779428103164</c:v>
                </c:pt>
                <c:pt idx="12">
                  <c:v>489.1835126567189</c:v>
                </c:pt>
              </c:numCache>
            </c:numRef>
          </c:yVal>
          <c:smooth val="0"/>
        </c:ser>
        <c:dLbls>
          <c:dLblPos val="r"/>
          <c:showLegendKey val="0"/>
          <c:showVal val="1"/>
          <c:showCatName val="0"/>
          <c:showSerName val="0"/>
          <c:showPercent val="0"/>
          <c:showBubbleSize val="0"/>
        </c:dLbls>
        <c:axId val="258051072"/>
        <c:axId val="265362816"/>
      </c:scatterChart>
      <c:valAx>
        <c:axId val="258051072"/>
        <c:scaling>
          <c:orientation val="minMax"/>
        </c:scaling>
        <c:delete val="0"/>
        <c:axPos val="b"/>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a:lstStyle/>
              <a:p>
                <a:pPr>
                  <a:defRPr sz="1400" b="1">
                    <a:latin typeface="+mn-lt"/>
                    <a:cs typeface="Arial" panose="020B0604020202020204" pitchFamily="34" charset="0"/>
                  </a:defRPr>
                </a:pPr>
                <a:r>
                  <a:rPr lang="en-AU" b="1"/>
                  <a:t>Customer</a:t>
                </a:r>
                <a:r>
                  <a:rPr lang="en-AU" b="1" baseline="0"/>
                  <a:t> density (per km)</a:t>
                </a:r>
                <a:endParaRPr lang="en-AU" b="1"/>
              </a:p>
            </c:rich>
          </c:tx>
          <c:layout/>
          <c:overlay val="0"/>
        </c:title>
        <c:numFmt formatCode="#,##0" sourceLinked="0"/>
        <c:majorTickMark val="out"/>
        <c:minorTickMark val="none"/>
        <c:tickLblPos val="nextTo"/>
        <c:txPr>
          <a:bodyPr/>
          <a:lstStyle/>
          <a:p>
            <a:pPr>
              <a:defRPr sz="1200" b="1"/>
            </a:pPr>
            <a:endParaRPr lang="en-US"/>
          </a:p>
        </c:txPr>
        <c:crossAx val="265362816"/>
        <c:crosses val="autoZero"/>
        <c:crossBetween val="midCat"/>
        <c:majorUnit val="10"/>
      </c:valAx>
      <c:valAx>
        <c:axId val="265362816"/>
        <c:scaling>
          <c:orientation val="minMax"/>
        </c:scaling>
        <c:delete val="0"/>
        <c:axPos val="l"/>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rot="-5400000" vert="horz"/>
              <a:lstStyle/>
              <a:p>
                <a:pPr>
                  <a:defRPr sz="1400" b="1">
                    <a:latin typeface="+mn-lt"/>
                    <a:cs typeface="Arial" panose="020B0604020202020204" pitchFamily="34" charset="0"/>
                  </a:defRPr>
                </a:pPr>
                <a:r>
                  <a:rPr lang="en-AU" b="1"/>
                  <a:t>Total cost per customer</a:t>
                </a:r>
              </a:p>
            </c:rich>
          </c:tx>
          <c:layout>
            <c:manualLayout>
              <c:xMode val="edge"/>
              <c:yMode val="edge"/>
              <c:x val="1.1700823224613426E-2"/>
              <c:y val="0.24770330863305429"/>
            </c:manualLayout>
          </c:layout>
          <c:overlay val="0"/>
        </c:title>
        <c:numFmt formatCode="&quot;$&quot;#,##0" sourceLinked="1"/>
        <c:majorTickMark val="out"/>
        <c:minorTickMark val="none"/>
        <c:tickLblPos val="nextTo"/>
        <c:txPr>
          <a:bodyPr/>
          <a:lstStyle/>
          <a:p>
            <a:pPr>
              <a:defRPr sz="1200" b="1"/>
            </a:pPr>
            <a:endParaRPr lang="en-US"/>
          </a:p>
        </c:txPr>
        <c:crossAx val="25805107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scatterChart>
        <c:scatterStyle val="lineMarker"/>
        <c:varyColors val="0"/>
        <c:ser>
          <c:idx val="0"/>
          <c:order val="0"/>
          <c:spPr>
            <a:ln w="28575">
              <a:noFill/>
            </a:ln>
          </c:spPr>
          <c:marker>
            <c:symbol val="square"/>
            <c:size val="9"/>
            <c:spPr>
              <a:ln>
                <a:solidFill>
                  <a:schemeClr val="tx1"/>
                </a:solidFill>
              </a:ln>
            </c:spPr>
          </c:marker>
          <c:dPt>
            <c:idx val="0"/>
            <c:marker>
              <c:spPr>
                <a:solidFill>
                  <a:srgbClr val="FCC0C0"/>
                </a:solidFill>
                <a:ln>
                  <a:solidFill>
                    <a:schemeClr val="tx1"/>
                  </a:solidFill>
                </a:ln>
              </c:spPr>
            </c:marker>
            <c:bubble3D val="0"/>
          </c:dPt>
          <c:dPt>
            <c:idx val="1"/>
            <c:marker>
              <c:spPr>
                <a:solidFill>
                  <a:srgbClr val="558ED5"/>
                </a:solidFill>
                <a:ln>
                  <a:solidFill>
                    <a:schemeClr val="tx1"/>
                  </a:solidFill>
                </a:ln>
              </c:spPr>
            </c:marker>
            <c:bubble3D val="0"/>
          </c:dPt>
          <c:dPt>
            <c:idx val="2"/>
            <c:marker>
              <c:spPr>
                <a:solidFill>
                  <a:srgbClr val="A1D99B"/>
                </a:solidFill>
                <a:ln>
                  <a:solidFill>
                    <a:schemeClr val="tx1"/>
                  </a:solidFill>
                </a:ln>
              </c:spPr>
            </c:marker>
            <c:bubble3D val="0"/>
          </c:dPt>
          <c:dPt>
            <c:idx val="3"/>
            <c:marker>
              <c:spPr>
                <a:solidFill>
                  <a:srgbClr val="558ED5"/>
                </a:solidFill>
                <a:ln>
                  <a:solidFill>
                    <a:schemeClr val="tx1"/>
                  </a:solidFill>
                </a:ln>
              </c:spPr>
            </c:marker>
            <c:bubble3D val="0"/>
          </c:dPt>
          <c:dPt>
            <c:idx val="4"/>
            <c:marker>
              <c:spPr>
                <a:solidFill>
                  <a:srgbClr val="BD0026"/>
                </a:solidFill>
                <a:ln>
                  <a:solidFill>
                    <a:schemeClr val="tx1"/>
                  </a:solidFill>
                </a:ln>
              </c:spPr>
            </c:marker>
            <c:bubble3D val="0"/>
          </c:dPt>
          <c:dPt>
            <c:idx val="5"/>
            <c:marker>
              <c:spPr>
                <a:solidFill>
                  <a:srgbClr val="C00000"/>
                </a:solidFill>
                <a:ln>
                  <a:solidFill>
                    <a:schemeClr val="tx1"/>
                  </a:solidFill>
                </a:ln>
              </c:spPr>
            </c:marker>
            <c:bubble3D val="0"/>
          </c:dPt>
          <c:dPt>
            <c:idx val="6"/>
            <c:marker>
              <c:spPr>
                <a:solidFill>
                  <a:srgbClr val="558ED5"/>
                </a:solidFill>
                <a:ln>
                  <a:solidFill>
                    <a:schemeClr val="tx1"/>
                  </a:solidFill>
                </a:ln>
              </c:spPr>
            </c:marker>
            <c:bubble3D val="0"/>
          </c:dPt>
          <c:dPt>
            <c:idx val="7"/>
            <c:marker>
              <c:spPr>
                <a:solidFill>
                  <a:srgbClr val="A1D99B"/>
                </a:solidFill>
                <a:ln>
                  <a:solidFill>
                    <a:schemeClr val="tx1"/>
                  </a:solidFill>
                </a:ln>
              </c:spPr>
            </c:marker>
            <c:bubble3D val="0"/>
          </c:dPt>
          <c:dPt>
            <c:idx val="8"/>
            <c:marker>
              <c:spPr>
                <a:solidFill>
                  <a:srgbClr val="A1D99B"/>
                </a:solidFill>
                <a:ln>
                  <a:solidFill>
                    <a:schemeClr val="tx1"/>
                  </a:solidFill>
                </a:ln>
              </c:spPr>
            </c:marker>
            <c:bubble3D val="0"/>
          </c:dPt>
          <c:dPt>
            <c:idx val="9"/>
            <c:marker>
              <c:spPr>
                <a:solidFill>
                  <a:srgbClr val="FD8D3C"/>
                </a:solidFill>
                <a:ln>
                  <a:solidFill>
                    <a:schemeClr val="tx1"/>
                  </a:solidFill>
                </a:ln>
              </c:spPr>
            </c:marker>
            <c:bubble3D val="0"/>
          </c:dPt>
          <c:dPt>
            <c:idx val="10"/>
            <c:marker>
              <c:spPr>
                <a:solidFill>
                  <a:srgbClr val="A1D99B"/>
                </a:solidFill>
                <a:ln>
                  <a:solidFill>
                    <a:schemeClr val="tx1"/>
                  </a:solidFill>
                </a:ln>
              </c:spPr>
            </c:marker>
            <c:bubble3D val="0"/>
          </c:dPt>
          <c:dPt>
            <c:idx val="11"/>
            <c:marker>
              <c:spPr>
                <a:solidFill>
                  <a:schemeClr val="accent4">
                    <a:lumMod val="60000"/>
                    <a:lumOff val="40000"/>
                  </a:schemeClr>
                </a:solidFill>
                <a:ln>
                  <a:solidFill>
                    <a:schemeClr val="tx1"/>
                  </a:solidFill>
                </a:ln>
              </c:spPr>
            </c:marker>
            <c:bubble3D val="0"/>
          </c:dPt>
          <c:dPt>
            <c:idx val="12"/>
            <c:marker>
              <c:spPr>
                <a:solidFill>
                  <a:srgbClr val="A1D99B"/>
                </a:solidFill>
                <a:ln>
                  <a:solidFill>
                    <a:schemeClr val="tx1"/>
                  </a:solidFill>
                </a:ln>
              </c:spPr>
            </c:marker>
            <c:bubble3D val="0"/>
          </c:dPt>
          <c:dLbls>
            <c:dLbl>
              <c:idx val="0"/>
              <c:layout/>
              <c:tx>
                <c:rich>
                  <a:bodyPr/>
                  <a:lstStyle/>
                  <a:p>
                    <a:r>
                      <a:rPr lang="en-AU"/>
                      <a:t>ACT</a:t>
                    </a:r>
                  </a:p>
                </c:rich>
              </c:tx>
              <c:dLblPos val="r"/>
              <c:showLegendKey val="0"/>
              <c:showVal val="1"/>
              <c:showCatName val="0"/>
              <c:showSerName val="0"/>
              <c:showPercent val="0"/>
              <c:showBubbleSize val="0"/>
            </c:dLbl>
            <c:dLbl>
              <c:idx val="1"/>
              <c:layout/>
              <c:tx>
                <c:rich>
                  <a:bodyPr/>
                  <a:lstStyle/>
                  <a:p>
                    <a:r>
                      <a:rPr lang="en-AU"/>
                      <a:t>AGD</a:t>
                    </a:r>
                  </a:p>
                </c:rich>
              </c:tx>
              <c:dLblPos val="r"/>
              <c:showLegendKey val="0"/>
              <c:showVal val="1"/>
              <c:showCatName val="0"/>
              <c:showSerName val="0"/>
              <c:showPercent val="0"/>
              <c:showBubbleSize val="0"/>
            </c:dLbl>
            <c:dLbl>
              <c:idx val="2"/>
              <c:layout/>
              <c:tx>
                <c:rich>
                  <a:bodyPr/>
                  <a:lstStyle/>
                  <a:p>
                    <a:r>
                      <a:rPr lang="en-AU"/>
                      <a:t>CIT</a:t>
                    </a:r>
                  </a:p>
                </c:rich>
              </c:tx>
              <c:dLblPos val="r"/>
              <c:showLegendKey val="0"/>
              <c:showVal val="1"/>
              <c:showCatName val="0"/>
              <c:showSerName val="0"/>
              <c:showPercent val="0"/>
              <c:showBubbleSize val="0"/>
            </c:dLbl>
            <c:dLbl>
              <c:idx val="3"/>
              <c:layout/>
              <c:tx>
                <c:rich>
                  <a:bodyPr/>
                  <a:lstStyle/>
                  <a:p>
                    <a:r>
                      <a:rPr lang="en-AU"/>
                      <a:t>END</a:t>
                    </a:r>
                  </a:p>
                </c:rich>
              </c:tx>
              <c:dLblPos val="r"/>
              <c:showLegendKey val="0"/>
              <c:showVal val="1"/>
              <c:showCatName val="0"/>
              <c:showSerName val="0"/>
              <c:showPercent val="0"/>
              <c:showBubbleSize val="0"/>
            </c:dLbl>
            <c:dLbl>
              <c:idx val="4"/>
              <c:layout>
                <c:manualLayout>
                  <c:x val="-3.3386904601987309E-2"/>
                  <c:y val="-4.880658982021932E-2"/>
                </c:manualLayout>
              </c:layout>
              <c:tx>
                <c:rich>
                  <a:bodyPr/>
                  <a:lstStyle/>
                  <a:p>
                    <a:r>
                      <a:rPr lang="en-AU"/>
                      <a:t>ENX</a:t>
                    </a:r>
                  </a:p>
                </c:rich>
              </c:tx>
              <c:dLblPos val="r"/>
              <c:showLegendKey val="0"/>
              <c:showVal val="1"/>
              <c:showCatName val="0"/>
              <c:showSerName val="0"/>
              <c:showPercent val="0"/>
              <c:showBubbleSize val="0"/>
            </c:dLbl>
            <c:dLbl>
              <c:idx val="5"/>
              <c:layout/>
              <c:tx>
                <c:rich>
                  <a:bodyPr/>
                  <a:lstStyle/>
                  <a:p>
                    <a:r>
                      <a:rPr lang="en-AU"/>
                      <a:t>ERG</a:t>
                    </a:r>
                  </a:p>
                </c:rich>
              </c:tx>
              <c:dLblPos val="t"/>
              <c:showLegendKey val="0"/>
              <c:showVal val="1"/>
              <c:showCatName val="0"/>
              <c:showSerName val="0"/>
              <c:showPercent val="0"/>
              <c:showBubbleSize val="0"/>
            </c:dLbl>
            <c:dLbl>
              <c:idx val="6"/>
              <c:layout/>
              <c:tx>
                <c:rich>
                  <a:bodyPr/>
                  <a:lstStyle/>
                  <a:p>
                    <a:r>
                      <a:rPr lang="en-AU"/>
                      <a:t>ESS</a:t>
                    </a:r>
                  </a:p>
                </c:rich>
              </c:tx>
              <c:dLblPos val="b"/>
              <c:showLegendKey val="0"/>
              <c:showVal val="1"/>
              <c:showCatName val="0"/>
              <c:showSerName val="0"/>
              <c:showPercent val="0"/>
              <c:showBubbleSize val="0"/>
            </c:dLbl>
            <c:dLbl>
              <c:idx val="7"/>
              <c:layout/>
              <c:tx>
                <c:rich>
                  <a:bodyPr/>
                  <a:lstStyle/>
                  <a:p>
                    <a:r>
                      <a:rPr lang="en-AU"/>
                      <a:t>JEN</a:t>
                    </a:r>
                  </a:p>
                </c:rich>
              </c:tx>
              <c:dLblPos val="r"/>
              <c:showLegendKey val="0"/>
              <c:showVal val="1"/>
              <c:showCatName val="0"/>
              <c:showSerName val="0"/>
              <c:showPercent val="0"/>
              <c:showBubbleSize val="0"/>
            </c:dLbl>
            <c:dLbl>
              <c:idx val="8"/>
              <c:layout/>
              <c:tx>
                <c:rich>
                  <a:bodyPr/>
                  <a:lstStyle/>
                  <a:p>
                    <a:r>
                      <a:rPr lang="en-AU"/>
                      <a:t>PCR</a:t>
                    </a:r>
                  </a:p>
                </c:rich>
              </c:tx>
              <c:dLblPos val="b"/>
              <c:showLegendKey val="0"/>
              <c:showVal val="1"/>
              <c:showCatName val="0"/>
              <c:showSerName val="0"/>
              <c:showPercent val="0"/>
              <c:showBubbleSize val="0"/>
            </c:dLbl>
            <c:dLbl>
              <c:idx val="9"/>
              <c:layout/>
              <c:tx>
                <c:rich>
                  <a:bodyPr/>
                  <a:lstStyle/>
                  <a:p>
                    <a:r>
                      <a:rPr lang="en-AU"/>
                      <a:t>SAPN</a:t>
                    </a:r>
                  </a:p>
                </c:rich>
              </c:tx>
              <c:dLblPos val="r"/>
              <c:showLegendKey val="0"/>
              <c:showVal val="1"/>
              <c:showCatName val="0"/>
              <c:showSerName val="0"/>
              <c:showPercent val="0"/>
              <c:showBubbleSize val="0"/>
            </c:dLbl>
            <c:dLbl>
              <c:idx val="10"/>
              <c:layout/>
              <c:tx>
                <c:rich>
                  <a:bodyPr/>
                  <a:lstStyle/>
                  <a:p>
                    <a:r>
                      <a:rPr lang="en-AU"/>
                      <a:t>AND</a:t>
                    </a:r>
                  </a:p>
                </c:rich>
              </c:tx>
              <c:dLblPos val="r"/>
              <c:showLegendKey val="0"/>
              <c:showVal val="1"/>
              <c:showCatName val="0"/>
              <c:showSerName val="0"/>
              <c:showPercent val="0"/>
              <c:showBubbleSize val="0"/>
            </c:dLbl>
            <c:dLbl>
              <c:idx val="11"/>
              <c:layout/>
              <c:tx>
                <c:rich>
                  <a:bodyPr/>
                  <a:lstStyle/>
                  <a:p>
                    <a:r>
                      <a:rPr lang="en-AU"/>
                      <a:t>TND</a:t>
                    </a:r>
                  </a:p>
                </c:rich>
              </c:tx>
              <c:dLblPos val="t"/>
              <c:showLegendKey val="0"/>
              <c:showVal val="1"/>
              <c:showCatName val="0"/>
              <c:showSerName val="0"/>
              <c:showPercent val="0"/>
              <c:showBubbleSize val="0"/>
            </c:dLbl>
            <c:dLbl>
              <c:idx val="12"/>
              <c:layout/>
              <c:tx>
                <c:rich>
                  <a:bodyPr/>
                  <a:lstStyle/>
                  <a:p>
                    <a:r>
                      <a:rPr lang="en-AU"/>
                      <a:t>UED</a:t>
                    </a:r>
                  </a:p>
                </c:rich>
              </c:tx>
              <c:dLblPos val="r"/>
              <c:showLegendKey val="0"/>
              <c:showVal val="1"/>
              <c:showCatName val="0"/>
              <c:showSerName val="0"/>
              <c:showPercent val="0"/>
              <c:showBubbleSize val="0"/>
            </c:dLbl>
            <c:txPr>
              <a:bodyPr/>
              <a:lstStyle/>
              <a:p>
                <a:pPr>
                  <a:defRPr sz="1200"/>
                </a:pPr>
                <a:endParaRPr lang="en-US"/>
              </a:p>
            </c:txPr>
            <c:dLblPos val="r"/>
            <c:showLegendKey val="0"/>
            <c:showVal val="1"/>
            <c:showCatName val="0"/>
            <c:showSerName val="0"/>
            <c:showPercent val="0"/>
            <c:showBubbleSize val="0"/>
            <c:showLeaderLines val="0"/>
          </c:dLbls>
          <c:xVal>
            <c:numRef>
              <c:f>Analysis!$L$3:$L$15</c:f>
              <c:numCache>
                <c:formatCode>#,##0.00</c:formatCode>
                <c:ptCount val="13"/>
                <c:pt idx="0">
                  <c:v>44.032043856129668</c:v>
                </c:pt>
                <c:pt idx="1">
                  <c:v>43.85116936254196</c:v>
                </c:pt>
                <c:pt idx="2">
                  <c:v>103.17487904768937</c:v>
                </c:pt>
                <c:pt idx="3">
                  <c:v>33.543764948340595</c:v>
                </c:pt>
                <c:pt idx="4">
                  <c:v>32.164931741978052</c:v>
                </c:pt>
                <c:pt idx="5">
                  <c:v>5.097219926915761</c:v>
                </c:pt>
                <c:pt idx="6">
                  <c:v>4.7326093149031276</c:v>
                </c:pt>
                <c:pt idx="7">
                  <c:v>72.280758328830345</c:v>
                </c:pt>
                <c:pt idx="8">
                  <c:v>11.450519570884238</c:v>
                </c:pt>
                <c:pt idx="9">
                  <c:v>10.470859357299215</c:v>
                </c:pt>
                <c:pt idx="10">
                  <c:v>18.033729499698328</c:v>
                </c:pt>
                <c:pt idx="11">
                  <c:v>13.829330883742543</c:v>
                </c:pt>
                <c:pt idx="12">
                  <c:v>65.062713156514363</c:v>
                </c:pt>
              </c:numCache>
            </c:numRef>
          </c:xVal>
          <c:yVal>
            <c:numRef>
              <c:f>Analysis!$O$3:$O$15</c:f>
              <c:numCache>
                <c:formatCode>"$"#,##0</c:formatCode>
                <c:ptCount val="13"/>
                <c:pt idx="0">
                  <c:v>38096.164859870834</c:v>
                </c:pt>
                <c:pt idx="1">
                  <c:v>43421.197139893833</c:v>
                </c:pt>
                <c:pt idx="2">
                  <c:v>58809.16582810854</c:v>
                </c:pt>
                <c:pt idx="3">
                  <c:v>24603.25336755798</c:v>
                </c:pt>
                <c:pt idx="4">
                  <c:v>23569.399466589137</c:v>
                </c:pt>
                <c:pt idx="5">
                  <c:v>7053.4828688611406</c:v>
                </c:pt>
                <c:pt idx="6">
                  <c:v>5437.3524485210773</c:v>
                </c:pt>
                <c:pt idx="7">
                  <c:v>40022.825642750853</c:v>
                </c:pt>
                <c:pt idx="8">
                  <c:v>6462.5942254733018</c:v>
                </c:pt>
                <c:pt idx="9">
                  <c:v>7363.1712387134876</c:v>
                </c:pt>
                <c:pt idx="10">
                  <c:v>12449.629116719965</c:v>
                </c:pt>
                <c:pt idx="11">
                  <c:v>10709.956505988126</c:v>
                </c:pt>
                <c:pt idx="12">
                  <c:v>31827.606564880214</c:v>
                </c:pt>
              </c:numCache>
            </c:numRef>
          </c:yVal>
          <c:smooth val="0"/>
        </c:ser>
        <c:dLbls>
          <c:dLblPos val="r"/>
          <c:showLegendKey val="0"/>
          <c:showVal val="1"/>
          <c:showCatName val="0"/>
          <c:showSerName val="0"/>
          <c:showPercent val="0"/>
          <c:showBubbleSize val="0"/>
        </c:dLbls>
        <c:axId val="265832704"/>
        <c:axId val="265841280"/>
      </c:scatterChart>
      <c:valAx>
        <c:axId val="265832704"/>
        <c:scaling>
          <c:orientation val="minMax"/>
        </c:scaling>
        <c:delete val="0"/>
        <c:axPos val="b"/>
        <c:majorGridlines>
          <c:spPr>
            <a:ln>
              <a:solidFill>
                <a:schemeClr val="bg1">
                  <a:lumMod val="85000"/>
                </a:schemeClr>
              </a:solidFill>
              <a:prstDash val="sysDash"/>
            </a:ln>
          </c:spPr>
        </c:majorGridlines>
        <c:title>
          <c:tx>
            <c:rich>
              <a:bodyPr/>
              <a:lstStyle/>
              <a:p>
                <a:pPr>
                  <a:defRPr sz="1400" b="0">
                    <a:latin typeface="+mn-lt"/>
                    <a:cs typeface="Arial" panose="020B0604020202020204" pitchFamily="34" charset="0"/>
                  </a:defRPr>
                </a:pPr>
                <a:r>
                  <a:rPr lang="en-AU"/>
                  <a:t>Customer</a:t>
                </a:r>
                <a:r>
                  <a:rPr lang="en-AU" baseline="0"/>
                  <a:t> density (per km)</a:t>
                </a:r>
                <a:endParaRPr lang="en-AU"/>
              </a:p>
            </c:rich>
          </c:tx>
          <c:layout/>
          <c:overlay val="0"/>
        </c:title>
        <c:numFmt formatCode="#,##0" sourceLinked="0"/>
        <c:majorTickMark val="out"/>
        <c:minorTickMark val="none"/>
        <c:tickLblPos val="nextTo"/>
        <c:txPr>
          <a:bodyPr/>
          <a:lstStyle/>
          <a:p>
            <a:pPr>
              <a:defRPr sz="1200"/>
            </a:pPr>
            <a:endParaRPr lang="en-US"/>
          </a:p>
        </c:txPr>
        <c:crossAx val="265841280"/>
        <c:crosses val="autoZero"/>
        <c:crossBetween val="midCat"/>
        <c:majorUnit val="10"/>
      </c:valAx>
      <c:valAx>
        <c:axId val="265841280"/>
        <c:scaling>
          <c:orientation val="minMax"/>
        </c:scaling>
        <c:delete val="0"/>
        <c:axPos val="l"/>
        <c:majorGridlines>
          <c:spPr>
            <a:ln>
              <a:solidFill>
                <a:schemeClr val="bg1">
                  <a:lumMod val="85000"/>
                </a:schemeClr>
              </a:solidFill>
              <a:prstDash val="sysDash"/>
            </a:ln>
          </c:spPr>
        </c:majorGridlines>
        <c:title>
          <c:tx>
            <c:rich>
              <a:bodyPr rot="-5400000" vert="horz"/>
              <a:lstStyle/>
              <a:p>
                <a:pPr>
                  <a:defRPr sz="1400" b="0">
                    <a:latin typeface="+mn-lt"/>
                    <a:cs typeface="Arial" panose="020B0604020202020204" pitchFamily="34" charset="0"/>
                  </a:defRPr>
                </a:pPr>
                <a:r>
                  <a:rPr lang="en-AU"/>
                  <a:t>Total cost per km of route line length</a:t>
                </a:r>
              </a:p>
            </c:rich>
          </c:tx>
          <c:layout>
            <c:manualLayout>
              <c:xMode val="edge"/>
              <c:yMode val="edge"/>
              <c:x val="9.8600411030483111E-3"/>
              <c:y val="0.15301085778365556"/>
            </c:manualLayout>
          </c:layout>
          <c:overlay val="0"/>
        </c:title>
        <c:numFmt formatCode="&quot;$&quot;#,##0" sourceLinked="1"/>
        <c:majorTickMark val="out"/>
        <c:minorTickMark val="none"/>
        <c:tickLblPos val="nextTo"/>
        <c:txPr>
          <a:bodyPr/>
          <a:lstStyle/>
          <a:p>
            <a:pPr>
              <a:defRPr sz="1200"/>
            </a:pPr>
            <a:endParaRPr lang="en-US"/>
          </a:p>
        </c:txPr>
        <c:crossAx val="26583270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scatterChart>
        <c:scatterStyle val="lineMarker"/>
        <c:varyColors val="0"/>
        <c:ser>
          <c:idx val="0"/>
          <c:order val="0"/>
          <c:spPr>
            <a:ln w="28575">
              <a:noFill/>
            </a:ln>
          </c:spPr>
          <c:marker>
            <c:symbol val="square"/>
            <c:size val="9"/>
            <c:spPr>
              <a:ln>
                <a:solidFill>
                  <a:schemeClr val="tx1"/>
                </a:solidFill>
              </a:ln>
            </c:spPr>
          </c:marker>
          <c:dPt>
            <c:idx val="0"/>
            <c:marker>
              <c:spPr>
                <a:solidFill>
                  <a:srgbClr val="FCC0C0"/>
                </a:solidFill>
                <a:ln>
                  <a:solidFill>
                    <a:schemeClr val="tx1"/>
                  </a:solidFill>
                </a:ln>
              </c:spPr>
            </c:marker>
            <c:bubble3D val="0"/>
          </c:dPt>
          <c:dPt>
            <c:idx val="1"/>
            <c:marker>
              <c:spPr>
                <a:solidFill>
                  <a:srgbClr val="558ED5"/>
                </a:solidFill>
                <a:ln>
                  <a:solidFill>
                    <a:schemeClr val="tx1"/>
                  </a:solidFill>
                </a:ln>
              </c:spPr>
            </c:marker>
            <c:bubble3D val="0"/>
          </c:dPt>
          <c:dPt>
            <c:idx val="2"/>
            <c:marker>
              <c:spPr>
                <a:solidFill>
                  <a:srgbClr val="A1D99B"/>
                </a:solidFill>
                <a:ln>
                  <a:solidFill>
                    <a:schemeClr val="tx1"/>
                  </a:solidFill>
                </a:ln>
              </c:spPr>
            </c:marker>
            <c:bubble3D val="0"/>
          </c:dPt>
          <c:dPt>
            <c:idx val="3"/>
            <c:marker>
              <c:spPr>
                <a:solidFill>
                  <a:srgbClr val="558ED5"/>
                </a:solidFill>
                <a:ln>
                  <a:solidFill>
                    <a:schemeClr val="tx1"/>
                  </a:solidFill>
                </a:ln>
              </c:spPr>
            </c:marker>
            <c:bubble3D val="0"/>
          </c:dPt>
          <c:dPt>
            <c:idx val="4"/>
            <c:marker>
              <c:spPr>
                <a:solidFill>
                  <a:srgbClr val="BD0026"/>
                </a:solidFill>
                <a:ln>
                  <a:solidFill>
                    <a:schemeClr val="tx1"/>
                  </a:solidFill>
                </a:ln>
              </c:spPr>
            </c:marker>
            <c:bubble3D val="0"/>
          </c:dPt>
          <c:dPt>
            <c:idx val="5"/>
            <c:marker>
              <c:spPr>
                <a:solidFill>
                  <a:srgbClr val="C00000"/>
                </a:solidFill>
                <a:ln>
                  <a:solidFill>
                    <a:schemeClr val="tx1"/>
                  </a:solidFill>
                </a:ln>
              </c:spPr>
            </c:marker>
            <c:bubble3D val="0"/>
          </c:dPt>
          <c:dPt>
            <c:idx val="6"/>
            <c:marker>
              <c:spPr>
                <a:solidFill>
                  <a:srgbClr val="558ED5"/>
                </a:solidFill>
                <a:ln>
                  <a:solidFill>
                    <a:schemeClr val="tx1"/>
                  </a:solidFill>
                </a:ln>
              </c:spPr>
            </c:marker>
            <c:bubble3D val="0"/>
          </c:dPt>
          <c:dPt>
            <c:idx val="7"/>
            <c:marker>
              <c:spPr>
                <a:solidFill>
                  <a:srgbClr val="A1D99B"/>
                </a:solidFill>
                <a:ln>
                  <a:solidFill>
                    <a:schemeClr val="tx1"/>
                  </a:solidFill>
                </a:ln>
              </c:spPr>
            </c:marker>
            <c:bubble3D val="0"/>
          </c:dPt>
          <c:dPt>
            <c:idx val="8"/>
            <c:marker>
              <c:spPr>
                <a:solidFill>
                  <a:srgbClr val="A1D99B"/>
                </a:solidFill>
                <a:ln>
                  <a:solidFill>
                    <a:schemeClr val="tx1"/>
                  </a:solidFill>
                </a:ln>
              </c:spPr>
            </c:marker>
            <c:bubble3D val="0"/>
          </c:dPt>
          <c:dPt>
            <c:idx val="9"/>
            <c:marker>
              <c:spPr>
                <a:solidFill>
                  <a:srgbClr val="FD8D3C"/>
                </a:solidFill>
                <a:ln>
                  <a:solidFill>
                    <a:schemeClr val="tx1"/>
                  </a:solidFill>
                </a:ln>
              </c:spPr>
            </c:marker>
            <c:bubble3D val="0"/>
          </c:dPt>
          <c:dPt>
            <c:idx val="10"/>
            <c:marker>
              <c:spPr>
                <a:solidFill>
                  <a:srgbClr val="A1D99B"/>
                </a:solidFill>
                <a:ln>
                  <a:solidFill>
                    <a:schemeClr val="tx1"/>
                  </a:solidFill>
                </a:ln>
              </c:spPr>
            </c:marker>
            <c:bubble3D val="0"/>
          </c:dPt>
          <c:dPt>
            <c:idx val="11"/>
            <c:marker>
              <c:spPr>
                <a:solidFill>
                  <a:schemeClr val="accent4">
                    <a:lumMod val="60000"/>
                    <a:lumOff val="40000"/>
                  </a:schemeClr>
                </a:solidFill>
                <a:ln>
                  <a:solidFill>
                    <a:schemeClr val="tx1"/>
                  </a:solidFill>
                </a:ln>
              </c:spPr>
            </c:marker>
            <c:bubble3D val="0"/>
          </c:dPt>
          <c:dPt>
            <c:idx val="12"/>
            <c:marker>
              <c:spPr>
                <a:solidFill>
                  <a:srgbClr val="A1D99B"/>
                </a:solidFill>
                <a:ln>
                  <a:solidFill>
                    <a:schemeClr val="tx1"/>
                  </a:solidFill>
                </a:ln>
              </c:spPr>
            </c:marker>
            <c:bubble3D val="0"/>
          </c:dPt>
          <c:dLbls>
            <c:dLbl>
              <c:idx val="0"/>
              <c:layout/>
              <c:tx>
                <c:rich>
                  <a:bodyPr/>
                  <a:lstStyle/>
                  <a:p>
                    <a:r>
                      <a:rPr lang="en-AU" b="1"/>
                      <a:t>ACT</a:t>
                    </a:r>
                    <a:endParaRPr lang="en-AU"/>
                  </a:p>
                </c:rich>
              </c:tx>
              <c:dLblPos val="r"/>
              <c:showLegendKey val="0"/>
              <c:showVal val="1"/>
              <c:showCatName val="0"/>
              <c:showSerName val="0"/>
              <c:showPercent val="0"/>
              <c:showBubbleSize val="0"/>
            </c:dLbl>
            <c:dLbl>
              <c:idx val="1"/>
              <c:layout/>
              <c:tx>
                <c:rich>
                  <a:bodyPr/>
                  <a:lstStyle/>
                  <a:p>
                    <a:r>
                      <a:rPr lang="en-AU" b="1"/>
                      <a:t>AGD</a:t>
                    </a:r>
                    <a:endParaRPr lang="en-AU"/>
                  </a:p>
                </c:rich>
              </c:tx>
              <c:dLblPos val="r"/>
              <c:showLegendKey val="0"/>
              <c:showVal val="1"/>
              <c:showCatName val="0"/>
              <c:showSerName val="0"/>
              <c:showPercent val="0"/>
              <c:showBubbleSize val="0"/>
            </c:dLbl>
            <c:dLbl>
              <c:idx val="2"/>
              <c:layout/>
              <c:tx>
                <c:rich>
                  <a:bodyPr/>
                  <a:lstStyle/>
                  <a:p>
                    <a:r>
                      <a:rPr lang="en-AU" b="1"/>
                      <a:t>CIT</a:t>
                    </a:r>
                    <a:endParaRPr lang="en-AU"/>
                  </a:p>
                </c:rich>
              </c:tx>
              <c:dLblPos val="r"/>
              <c:showLegendKey val="0"/>
              <c:showVal val="1"/>
              <c:showCatName val="0"/>
              <c:showSerName val="0"/>
              <c:showPercent val="0"/>
              <c:showBubbleSize val="0"/>
            </c:dLbl>
            <c:dLbl>
              <c:idx val="3"/>
              <c:layout/>
              <c:tx>
                <c:rich>
                  <a:bodyPr/>
                  <a:lstStyle/>
                  <a:p>
                    <a:r>
                      <a:rPr lang="en-AU" b="1"/>
                      <a:t>END</a:t>
                    </a:r>
                    <a:endParaRPr lang="en-AU"/>
                  </a:p>
                </c:rich>
              </c:tx>
              <c:dLblPos val="r"/>
              <c:showLegendKey val="0"/>
              <c:showVal val="1"/>
              <c:showCatName val="0"/>
              <c:showSerName val="0"/>
              <c:showPercent val="0"/>
              <c:showBubbleSize val="0"/>
            </c:dLbl>
            <c:dLbl>
              <c:idx val="4"/>
              <c:layout>
                <c:manualLayout>
                  <c:x val="-4.5109618021412369E-2"/>
                  <c:y val="-2.7602238288988345E-2"/>
                </c:manualLayout>
              </c:layout>
              <c:tx>
                <c:rich>
                  <a:bodyPr/>
                  <a:lstStyle/>
                  <a:p>
                    <a:r>
                      <a:rPr lang="en-AU" b="1"/>
                      <a:t>ENX</a:t>
                    </a:r>
                    <a:endParaRPr lang="en-AU"/>
                  </a:p>
                </c:rich>
              </c:tx>
              <c:dLblPos val="r"/>
              <c:showLegendKey val="0"/>
              <c:showVal val="1"/>
              <c:showCatName val="0"/>
              <c:showSerName val="0"/>
              <c:showPercent val="0"/>
              <c:showBubbleSize val="0"/>
            </c:dLbl>
            <c:dLbl>
              <c:idx val="5"/>
              <c:layout>
                <c:manualLayout>
                  <c:x val="-5.713684995398309E-3"/>
                  <c:y val="0"/>
                </c:manualLayout>
              </c:layout>
              <c:tx>
                <c:rich>
                  <a:bodyPr/>
                  <a:lstStyle/>
                  <a:p>
                    <a:r>
                      <a:rPr lang="en-AU" b="1"/>
                      <a:t>ERG</a:t>
                    </a:r>
                    <a:endParaRPr lang="en-AU"/>
                  </a:p>
                </c:rich>
              </c:tx>
              <c:dLblPos val="r"/>
              <c:showLegendKey val="0"/>
              <c:showVal val="1"/>
              <c:showCatName val="0"/>
              <c:showSerName val="0"/>
              <c:showPercent val="0"/>
              <c:showBubbleSize val="0"/>
            </c:dLbl>
            <c:dLbl>
              <c:idx val="6"/>
              <c:layout/>
              <c:tx>
                <c:rich>
                  <a:bodyPr/>
                  <a:lstStyle/>
                  <a:p>
                    <a:r>
                      <a:rPr lang="en-AU" b="1"/>
                      <a:t>ESS</a:t>
                    </a:r>
                    <a:endParaRPr lang="en-AU"/>
                  </a:p>
                </c:rich>
              </c:tx>
              <c:dLblPos val="r"/>
              <c:showLegendKey val="0"/>
              <c:showVal val="1"/>
              <c:showCatName val="0"/>
              <c:showSerName val="0"/>
              <c:showPercent val="0"/>
              <c:showBubbleSize val="0"/>
            </c:dLbl>
            <c:dLbl>
              <c:idx val="7"/>
              <c:layout/>
              <c:tx>
                <c:rich>
                  <a:bodyPr/>
                  <a:lstStyle/>
                  <a:p>
                    <a:r>
                      <a:rPr lang="en-AU" b="1"/>
                      <a:t>JEN</a:t>
                    </a:r>
                    <a:endParaRPr lang="en-AU"/>
                  </a:p>
                </c:rich>
              </c:tx>
              <c:dLblPos val="r"/>
              <c:showLegendKey val="0"/>
              <c:showVal val="1"/>
              <c:showCatName val="0"/>
              <c:showSerName val="0"/>
              <c:showPercent val="0"/>
              <c:showBubbleSize val="0"/>
            </c:dLbl>
            <c:dLbl>
              <c:idx val="8"/>
              <c:layout/>
              <c:tx>
                <c:rich>
                  <a:bodyPr/>
                  <a:lstStyle/>
                  <a:p>
                    <a:r>
                      <a:rPr lang="en-AU" b="1"/>
                      <a:t>PCR</a:t>
                    </a:r>
                    <a:endParaRPr lang="en-AU"/>
                  </a:p>
                </c:rich>
              </c:tx>
              <c:dLblPos val="r"/>
              <c:showLegendKey val="0"/>
              <c:showVal val="1"/>
              <c:showCatName val="0"/>
              <c:showSerName val="0"/>
              <c:showPercent val="0"/>
              <c:showBubbleSize val="0"/>
            </c:dLbl>
            <c:dLbl>
              <c:idx val="9"/>
              <c:layout>
                <c:manualLayout>
                  <c:x val="-7.6182466605310792E-2"/>
                  <c:y val="-3.4753556029741971E-2"/>
                </c:manualLayout>
              </c:layout>
              <c:tx>
                <c:rich>
                  <a:bodyPr/>
                  <a:lstStyle/>
                  <a:p>
                    <a:r>
                      <a:rPr lang="en-AU" b="1"/>
                      <a:t>SAPN</a:t>
                    </a:r>
                    <a:endParaRPr lang="en-AU"/>
                  </a:p>
                </c:rich>
              </c:tx>
              <c:dLblPos val="r"/>
              <c:showLegendKey val="0"/>
              <c:showVal val="1"/>
              <c:showCatName val="0"/>
              <c:showSerName val="0"/>
              <c:showPercent val="0"/>
              <c:showBubbleSize val="0"/>
            </c:dLbl>
            <c:dLbl>
              <c:idx val="10"/>
              <c:layout>
                <c:manualLayout>
                  <c:x val="-2.9283760342557162E-3"/>
                  <c:y val="1.249801866840624E-2"/>
                </c:manualLayout>
              </c:layout>
              <c:tx>
                <c:rich>
                  <a:bodyPr/>
                  <a:lstStyle/>
                  <a:p>
                    <a:r>
                      <a:rPr lang="en-AU" b="1"/>
                      <a:t>AND</a:t>
                    </a:r>
                    <a:endParaRPr lang="en-AU"/>
                  </a:p>
                </c:rich>
              </c:tx>
              <c:dLblPos val="r"/>
              <c:showLegendKey val="0"/>
              <c:showVal val="1"/>
              <c:showCatName val="0"/>
              <c:showSerName val="0"/>
              <c:showPercent val="0"/>
              <c:showBubbleSize val="0"/>
            </c:dLbl>
            <c:dLbl>
              <c:idx val="11"/>
              <c:layout/>
              <c:tx>
                <c:rich>
                  <a:bodyPr/>
                  <a:lstStyle/>
                  <a:p>
                    <a:r>
                      <a:rPr lang="en-AU" b="1"/>
                      <a:t>TND</a:t>
                    </a:r>
                    <a:endParaRPr lang="en-AU"/>
                  </a:p>
                </c:rich>
              </c:tx>
              <c:dLblPos val="r"/>
              <c:showLegendKey val="0"/>
              <c:showVal val="1"/>
              <c:showCatName val="0"/>
              <c:showSerName val="0"/>
              <c:showPercent val="0"/>
              <c:showBubbleSize val="0"/>
            </c:dLbl>
            <c:dLbl>
              <c:idx val="12"/>
              <c:layout/>
              <c:tx>
                <c:rich>
                  <a:bodyPr/>
                  <a:lstStyle/>
                  <a:p>
                    <a:r>
                      <a:rPr lang="en-AU" b="1"/>
                      <a:t>UED</a:t>
                    </a:r>
                    <a:endParaRPr lang="en-AU"/>
                  </a:p>
                </c:rich>
              </c:tx>
              <c:dLblPos val="r"/>
              <c:showLegendKey val="0"/>
              <c:showVal val="1"/>
              <c:showCatName val="0"/>
              <c:showSerName val="0"/>
              <c:showPercent val="0"/>
              <c:showBubbleSize val="0"/>
            </c:dLbl>
            <c:txPr>
              <a:bodyPr/>
              <a:lstStyle/>
              <a:p>
                <a:pPr>
                  <a:defRPr sz="1200" b="1"/>
                </a:pPr>
                <a:endParaRPr lang="en-US"/>
              </a:p>
            </c:txPr>
            <c:dLblPos val="r"/>
            <c:showLegendKey val="0"/>
            <c:showVal val="1"/>
            <c:showCatName val="0"/>
            <c:showSerName val="0"/>
            <c:showPercent val="0"/>
            <c:showBubbleSize val="0"/>
            <c:showLeaderLines val="0"/>
          </c:dLbls>
          <c:xVal>
            <c:numRef>
              <c:f>Analysis!$AC$3:$AC$15</c:f>
              <c:numCache>
                <c:formatCode>_-* #,##0.0_-;\-* #,##0.0_-;_-* "-"??_-;_-@_-</c:formatCode>
                <c:ptCount val="13"/>
                <c:pt idx="0">
                  <c:v>31.19443240088945</c:v>
                </c:pt>
                <c:pt idx="1">
                  <c:v>74.163373108702515</c:v>
                </c:pt>
                <c:pt idx="2">
                  <c:v>28.291369737893739</c:v>
                </c:pt>
                <c:pt idx="3">
                  <c:v>91.646606190498034</c:v>
                </c:pt>
                <c:pt idx="4">
                  <c:v>72.00679543604636</c:v>
                </c:pt>
                <c:pt idx="5">
                  <c:v>269.90118000000001</c:v>
                </c:pt>
                <c:pt idx="6">
                  <c:v>217.3833566460988</c:v>
                </c:pt>
                <c:pt idx="7">
                  <c:v>52.239899698633202</c:v>
                </c:pt>
                <c:pt idx="8">
                  <c:v>139.80405641611264</c:v>
                </c:pt>
                <c:pt idx="9">
                  <c:v>140.73400000000001</c:v>
                </c:pt>
                <c:pt idx="10">
                  <c:v>144.83084285061028</c:v>
                </c:pt>
                <c:pt idx="11">
                  <c:v>154.70119721821857</c:v>
                </c:pt>
                <c:pt idx="12">
                  <c:v>70.225275777029154</c:v>
                </c:pt>
              </c:numCache>
            </c:numRef>
          </c:xVal>
          <c:yVal>
            <c:numRef>
              <c:f>Analysis!$Q$3:$Q$15</c:f>
              <c:numCache>
                <c:formatCode>"$"#,##0</c:formatCode>
                <c:ptCount val="13"/>
                <c:pt idx="0">
                  <c:v>865.19183584451071</c:v>
                </c:pt>
                <c:pt idx="1">
                  <c:v>990.19473758856225</c:v>
                </c:pt>
                <c:pt idx="2">
                  <c:v>569.99500625463133</c:v>
                </c:pt>
                <c:pt idx="3">
                  <c:v>733.46726002428352</c:v>
                </c:pt>
                <c:pt idx="4">
                  <c:v>732.76696669711907</c:v>
                </c:pt>
                <c:pt idx="5">
                  <c:v>1383.7901777820837</c:v>
                </c:pt>
                <c:pt idx="6">
                  <c:v>1148.9121722764421</c:v>
                </c:pt>
                <c:pt idx="7">
                  <c:v>553.71341651775538</c:v>
                </c:pt>
                <c:pt idx="8">
                  <c:v>564.39309897395731</c:v>
                </c:pt>
                <c:pt idx="9">
                  <c:v>703.20601084004011</c:v>
                </c:pt>
                <c:pt idx="10">
                  <c:v>690.35243746603953</c:v>
                </c:pt>
                <c:pt idx="11">
                  <c:v>774.43779428103164</c:v>
                </c:pt>
                <c:pt idx="12">
                  <c:v>489.1835126567189</c:v>
                </c:pt>
              </c:numCache>
            </c:numRef>
          </c:yVal>
          <c:smooth val="0"/>
        </c:ser>
        <c:dLbls>
          <c:dLblPos val="r"/>
          <c:showLegendKey val="0"/>
          <c:showVal val="1"/>
          <c:showCatName val="0"/>
          <c:showSerName val="0"/>
          <c:showPercent val="0"/>
          <c:showBubbleSize val="0"/>
        </c:dLbls>
        <c:axId val="266620928"/>
        <c:axId val="266637696"/>
      </c:scatterChart>
      <c:valAx>
        <c:axId val="266620928"/>
        <c:scaling>
          <c:orientation val="minMax"/>
        </c:scaling>
        <c:delete val="0"/>
        <c:axPos val="b"/>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a:lstStyle/>
              <a:p>
                <a:pPr>
                  <a:defRPr sz="1400" b="1">
                    <a:latin typeface="+mn-lt"/>
                    <a:cs typeface="Arial" panose="020B0604020202020204" pitchFamily="34" charset="0"/>
                  </a:defRPr>
                </a:pPr>
                <a:r>
                  <a:rPr lang="en-AU" b="1"/>
                  <a:t>Minutes</a:t>
                </a:r>
                <a:r>
                  <a:rPr lang="en-AU" b="1" baseline="0"/>
                  <a:t> off supply per customer</a:t>
                </a:r>
                <a:endParaRPr lang="en-AU" b="1"/>
              </a:p>
            </c:rich>
          </c:tx>
          <c:layout/>
          <c:overlay val="0"/>
        </c:title>
        <c:numFmt formatCode="#,##0" sourceLinked="0"/>
        <c:majorTickMark val="out"/>
        <c:minorTickMark val="none"/>
        <c:tickLblPos val="nextTo"/>
        <c:txPr>
          <a:bodyPr/>
          <a:lstStyle/>
          <a:p>
            <a:pPr>
              <a:defRPr sz="1200" b="1"/>
            </a:pPr>
            <a:endParaRPr lang="en-US"/>
          </a:p>
        </c:txPr>
        <c:crossAx val="266637696"/>
        <c:crosses val="autoZero"/>
        <c:crossBetween val="midCat"/>
      </c:valAx>
      <c:valAx>
        <c:axId val="266637696"/>
        <c:scaling>
          <c:orientation val="minMax"/>
        </c:scaling>
        <c:delete val="0"/>
        <c:axPos val="l"/>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rot="-5400000" vert="horz"/>
              <a:lstStyle/>
              <a:p>
                <a:pPr>
                  <a:defRPr sz="1400" b="1">
                    <a:latin typeface="+mn-lt"/>
                    <a:cs typeface="Arial" panose="020B0604020202020204" pitchFamily="34" charset="0"/>
                  </a:defRPr>
                </a:pPr>
                <a:r>
                  <a:rPr lang="en-AU" b="1"/>
                  <a:t>Total cost per customer</a:t>
                </a:r>
              </a:p>
            </c:rich>
          </c:tx>
          <c:layout>
            <c:manualLayout>
              <c:xMode val="edge"/>
              <c:yMode val="edge"/>
              <c:x val="1.1757149077698582E-2"/>
              <c:y val="0.25022203453983966"/>
            </c:manualLayout>
          </c:layout>
          <c:overlay val="0"/>
        </c:title>
        <c:numFmt formatCode="&quot;$&quot;#,##0" sourceLinked="1"/>
        <c:majorTickMark val="out"/>
        <c:minorTickMark val="none"/>
        <c:tickLblPos val="nextTo"/>
        <c:txPr>
          <a:bodyPr/>
          <a:lstStyle/>
          <a:p>
            <a:pPr>
              <a:defRPr sz="1200" b="1"/>
            </a:pPr>
            <a:endParaRPr lang="en-US"/>
          </a:p>
        </c:txPr>
        <c:crossAx val="266620928"/>
        <c:crosses val="autoZero"/>
        <c:crossBetween val="midCat"/>
      </c:valAx>
    </c:plotArea>
    <c:plotVisOnly val="1"/>
    <c:dispBlanksAs val="gap"/>
    <c:showDLblsOverMax val="0"/>
  </c:chart>
  <c:spPr>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scatterChart>
        <c:scatterStyle val="lineMarker"/>
        <c:varyColors val="0"/>
        <c:ser>
          <c:idx val="0"/>
          <c:order val="0"/>
          <c:spPr>
            <a:ln w="28575">
              <a:noFill/>
            </a:ln>
          </c:spPr>
          <c:marker>
            <c:symbol val="square"/>
            <c:size val="9"/>
            <c:spPr>
              <a:ln>
                <a:solidFill>
                  <a:schemeClr val="tx1"/>
                </a:solidFill>
              </a:ln>
            </c:spPr>
          </c:marker>
          <c:dPt>
            <c:idx val="0"/>
            <c:marker>
              <c:spPr>
                <a:solidFill>
                  <a:srgbClr val="FCC0C0"/>
                </a:solidFill>
                <a:ln>
                  <a:solidFill>
                    <a:schemeClr val="tx1"/>
                  </a:solidFill>
                </a:ln>
              </c:spPr>
            </c:marker>
            <c:bubble3D val="0"/>
          </c:dPt>
          <c:dPt>
            <c:idx val="1"/>
            <c:marker>
              <c:spPr>
                <a:solidFill>
                  <a:srgbClr val="558ED5"/>
                </a:solidFill>
                <a:ln>
                  <a:solidFill>
                    <a:schemeClr val="tx1"/>
                  </a:solidFill>
                </a:ln>
              </c:spPr>
            </c:marker>
            <c:bubble3D val="0"/>
          </c:dPt>
          <c:dPt>
            <c:idx val="2"/>
            <c:marker>
              <c:spPr>
                <a:solidFill>
                  <a:srgbClr val="A1D99B"/>
                </a:solidFill>
                <a:ln>
                  <a:solidFill>
                    <a:schemeClr val="tx1"/>
                  </a:solidFill>
                </a:ln>
              </c:spPr>
            </c:marker>
            <c:bubble3D val="0"/>
          </c:dPt>
          <c:dPt>
            <c:idx val="3"/>
            <c:marker>
              <c:spPr>
                <a:solidFill>
                  <a:srgbClr val="558ED5"/>
                </a:solidFill>
                <a:ln>
                  <a:solidFill>
                    <a:schemeClr val="tx1"/>
                  </a:solidFill>
                </a:ln>
              </c:spPr>
            </c:marker>
            <c:bubble3D val="0"/>
          </c:dPt>
          <c:dPt>
            <c:idx val="4"/>
            <c:marker>
              <c:spPr>
                <a:solidFill>
                  <a:srgbClr val="BD0026"/>
                </a:solidFill>
                <a:ln>
                  <a:solidFill>
                    <a:schemeClr val="tx1"/>
                  </a:solidFill>
                </a:ln>
              </c:spPr>
            </c:marker>
            <c:bubble3D val="0"/>
          </c:dPt>
          <c:dPt>
            <c:idx val="5"/>
            <c:marker>
              <c:spPr>
                <a:solidFill>
                  <a:srgbClr val="C00000"/>
                </a:solidFill>
                <a:ln>
                  <a:solidFill>
                    <a:schemeClr val="tx1"/>
                  </a:solidFill>
                </a:ln>
              </c:spPr>
            </c:marker>
            <c:bubble3D val="0"/>
          </c:dPt>
          <c:dPt>
            <c:idx val="6"/>
            <c:marker>
              <c:spPr>
                <a:solidFill>
                  <a:srgbClr val="558ED5"/>
                </a:solidFill>
                <a:ln>
                  <a:solidFill>
                    <a:schemeClr val="tx1"/>
                  </a:solidFill>
                </a:ln>
              </c:spPr>
            </c:marker>
            <c:bubble3D val="0"/>
          </c:dPt>
          <c:dPt>
            <c:idx val="7"/>
            <c:marker>
              <c:spPr>
                <a:solidFill>
                  <a:srgbClr val="A1D99B"/>
                </a:solidFill>
                <a:ln>
                  <a:solidFill>
                    <a:schemeClr val="tx1"/>
                  </a:solidFill>
                </a:ln>
              </c:spPr>
            </c:marker>
            <c:bubble3D val="0"/>
          </c:dPt>
          <c:dPt>
            <c:idx val="8"/>
            <c:marker>
              <c:spPr>
                <a:solidFill>
                  <a:srgbClr val="A1D99B"/>
                </a:solidFill>
                <a:ln>
                  <a:solidFill>
                    <a:schemeClr val="tx1"/>
                  </a:solidFill>
                </a:ln>
              </c:spPr>
            </c:marker>
            <c:bubble3D val="0"/>
          </c:dPt>
          <c:dPt>
            <c:idx val="9"/>
            <c:marker>
              <c:spPr>
                <a:solidFill>
                  <a:srgbClr val="FD8D3C"/>
                </a:solidFill>
                <a:ln>
                  <a:solidFill>
                    <a:schemeClr val="tx1"/>
                  </a:solidFill>
                </a:ln>
              </c:spPr>
            </c:marker>
            <c:bubble3D val="0"/>
          </c:dPt>
          <c:dPt>
            <c:idx val="10"/>
            <c:marker>
              <c:spPr>
                <a:solidFill>
                  <a:srgbClr val="A1D99B"/>
                </a:solidFill>
                <a:ln>
                  <a:solidFill>
                    <a:schemeClr val="tx1"/>
                  </a:solidFill>
                </a:ln>
              </c:spPr>
            </c:marker>
            <c:bubble3D val="0"/>
          </c:dPt>
          <c:dPt>
            <c:idx val="11"/>
            <c:marker>
              <c:spPr>
                <a:solidFill>
                  <a:schemeClr val="accent4">
                    <a:lumMod val="60000"/>
                    <a:lumOff val="40000"/>
                  </a:schemeClr>
                </a:solidFill>
                <a:ln>
                  <a:solidFill>
                    <a:schemeClr val="tx1"/>
                  </a:solidFill>
                </a:ln>
              </c:spPr>
            </c:marker>
            <c:bubble3D val="0"/>
          </c:dPt>
          <c:dPt>
            <c:idx val="12"/>
            <c:marker>
              <c:spPr>
                <a:solidFill>
                  <a:srgbClr val="A1D99B"/>
                </a:solidFill>
                <a:ln>
                  <a:solidFill>
                    <a:schemeClr val="tx1"/>
                  </a:solidFill>
                </a:ln>
              </c:spPr>
            </c:marker>
            <c:bubble3D val="0"/>
          </c:dPt>
          <c:dLbls>
            <c:dLbl>
              <c:idx val="0"/>
              <c:layout/>
              <c:tx>
                <c:rich>
                  <a:bodyPr/>
                  <a:lstStyle/>
                  <a:p>
                    <a:r>
                      <a:rPr lang="en-AU" b="1"/>
                      <a:t>ACT</a:t>
                    </a:r>
                    <a:endParaRPr lang="en-AU"/>
                  </a:p>
                </c:rich>
              </c:tx>
              <c:dLblPos val="r"/>
              <c:showLegendKey val="0"/>
              <c:showVal val="1"/>
              <c:showCatName val="0"/>
              <c:showSerName val="0"/>
              <c:showPercent val="0"/>
              <c:showBubbleSize val="0"/>
            </c:dLbl>
            <c:dLbl>
              <c:idx val="1"/>
              <c:layout/>
              <c:tx>
                <c:rich>
                  <a:bodyPr/>
                  <a:lstStyle/>
                  <a:p>
                    <a:r>
                      <a:rPr lang="en-AU" b="1"/>
                      <a:t>AGD</a:t>
                    </a:r>
                    <a:endParaRPr lang="en-AU"/>
                  </a:p>
                </c:rich>
              </c:tx>
              <c:dLblPos val="r"/>
              <c:showLegendKey val="0"/>
              <c:showVal val="1"/>
              <c:showCatName val="0"/>
              <c:showSerName val="0"/>
              <c:showPercent val="0"/>
              <c:showBubbleSize val="0"/>
            </c:dLbl>
            <c:dLbl>
              <c:idx val="2"/>
              <c:layout/>
              <c:tx>
                <c:rich>
                  <a:bodyPr/>
                  <a:lstStyle/>
                  <a:p>
                    <a:r>
                      <a:rPr lang="en-AU" b="1"/>
                      <a:t>CIT</a:t>
                    </a:r>
                    <a:endParaRPr lang="en-AU"/>
                  </a:p>
                </c:rich>
              </c:tx>
              <c:dLblPos val="r"/>
              <c:showLegendKey val="0"/>
              <c:showVal val="1"/>
              <c:showCatName val="0"/>
              <c:showSerName val="0"/>
              <c:showPercent val="0"/>
              <c:showBubbleSize val="0"/>
            </c:dLbl>
            <c:dLbl>
              <c:idx val="3"/>
              <c:layout/>
              <c:tx>
                <c:rich>
                  <a:bodyPr/>
                  <a:lstStyle/>
                  <a:p>
                    <a:r>
                      <a:rPr lang="en-AU" b="1"/>
                      <a:t>END</a:t>
                    </a:r>
                    <a:endParaRPr lang="en-AU"/>
                  </a:p>
                </c:rich>
              </c:tx>
              <c:dLblPos val="r"/>
              <c:showLegendKey val="0"/>
              <c:showVal val="1"/>
              <c:showCatName val="0"/>
              <c:showSerName val="0"/>
              <c:showPercent val="0"/>
              <c:showBubbleSize val="0"/>
            </c:dLbl>
            <c:dLbl>
              <c:idx val="4"/>
              <c:layout>
                <c:manualLayout>
                  <c:x val="-4.1033233348706323E-2"/>
                  <c:y val="-4.0806509186351703E-2"/>
                </c:manualLayout>
              </c:layout>
              <c:tx>
                <c:rich>
                  <a:bodyPr/>
                  <a:lstStyle/>
                  <a:p>
                    <a:r>
                      <a:rPr lang="en-AU" b="1"/>
                      <a:t>ENX</a:t>
                    </a:r>
                    <a:endParaRPr lang="en-AU"/>
                  </a:p>
                </c:rich>
              </c:tx>
              <c:dLblPos val="r"/>
              <c:showLegendKey val="0"/>
              <c:showVal val="1"/>
              <c:showCatName val="0"/>
              <c:showSerName val="0"/>
              <c:showPercent val="0"/>
              <c:showBubbleSize val="0"/>
            </c:dLbl>
            <c:dLbl>
              <c:idx val="5"/>
              <c:layout>
                <c:manualLayout>
                  <c:x val="-3.9340498831371973E-2"/>
                  <c:y val="-3.0199895013123361E-2"/>
                </c:manualLayout>
              </c:layout>
              <c:tx>
                <c:rich>
                  <a:bodyPr/>
                  <a:lstStyle/>
                  <a:p>
                    <a:r>
                      <a:rPr lang="en-AU" b="1"/>
                      <a:t>ERG</a:t>
                    </a:r>
                    <a:endParaRPr lang="en-AU"/>
                  </a:p>
                </c:rich>
              </c:tx>
              <c:dLblPos val="r"/>
              <c:showLegendKey val="0"/>
              <c:showVal val="1"/>
              <c:showCatName val="0"/>
              <c:showSerName val="0"/>
              <c:showPercent val="0"/>
              <c:showBubbleSize val="0"/>
            </c:dLbl>
            <c:dLbl>
              <c:idx val="6"/>
              <c:layout>
                <c:manualLayout>
                  <c:x val="-3.8308240844542971E-2"/>
                  <c:y val="3.0200104986876641E-2"/>
                </c:manualLayout>
              </c:layout>
              <c:tx>
                <c:rich>
                  <a:bodyPr/>
                  <a:lstStyle/>
                  <a:p>
                    <a:r>
                      <a:rPr lang="en-AU" b="1"/>
                      <a:t>ESS</a:t>
                    </a:r>
                    <a:endParaRPr lang="en-AU"/>
                  </a:p>
                </c:rich>
              </c:tx>
              <c:dLblPos val="r"/>
              <c:showLegendKey val="0"/>
              <c:showVal val="1"/>
              <c:showCatName val="0"/>
              <c:showSerName val="0"/>
              <c:showPercent val="0"/>
              <c:showBubbleSize val="0"/>
            </c:dLbl>
            <c:dLbl>
              <c:idx val="7"/>
              <c:layout/>
              <c:tx>
                <c:rich>
                  <a:bodyPr/>
                  <a:lstStyle/>
                  <a:p>
                    <a:r>
                      <a:rPr lang="en-AU" b="1"/>
                      <a:t>JEN</a:t>
                    </a:r>
                    <a:endParaRPr lang="en-AU"/>
                  </a:p>
                </c:rich>
              </c:tx>
              <c:dLblPos val="r"/>
              <c:showLegendKey val="0"/>
              <c:showVal val="1"/>
              <c:showCatName val="0"/>
              <c:showSerName val="0"/>
              <c:showPercent val="0"/>
              <c:showBubbleSize val="0"/>
            </c:dLbl>
            <c:dLbl>
              <c:idx val="8"/>
              <c:layout>
                <c:manualLayout>
                  <c:x val="3.5045391001785398E-17"/>
                  <c:y val="1.3333333333333334E-2"/>
                </c:manualLayout>
              </c:layout>
              <c:tx>
                <c:rich>
                  <a:bodyPr/>
                  <a:lstStyle/>
                  <a:p>
                    <a:r>
                      <a:rPr lang="en-AU" b="1"/>
                      <a:t>PCR</a:t>
                    </a:r>
                    <a:endParaRPr lang="en-AU"/>
                  </a:p>
                </c:rich>
              </c:tx>
              <c:dLblPos val="r"/>
              <c:showLegendKey val="0"/>
              <c:showVal val="1"/>
              <c:showCatName val="0"/>
              <c:showSerName val="0"/>
              <c:showPercent val="0"/>
              <c:showBubbleSize val="0"/>
            </c:dLbl>
            <c:dLbl>
              <c:idx val="9"/>
              <c:layout>
                <c:manualLayout>
                  <c:x val="3.8231777289963044E-3"/>
                  <c:y val="-5.3333333333333332E-3"/>
                </c:manualLayout>
              </c:layout>
              <c:tx>
                <c:rich>
                  <a:bodyPr/>
                  <a:lstStyle/>
                  <a:p>
                    <a:r>
                      <a:rPr lang="en-AU" b="1"/>
                      <a:t>SAPN</a:t>
                    </a:r>
                    <a:endParaRPr lang="en-AU"/>
                  </a:p>
                </c:rich>
              </c:tx>
              <c:dLblPos val="r"/>
              <c:showLegendKey val="0"/>
              <c:showVal val="1"/>
              <c:showCatName val="0"/>
              <c:showSerName val="0"/>
              <c:showPercent val="0"/>
              <c:showBubbleSize val="0"/>
            </c:dLbl>
            <c:dLbl>
              <c:idx val="10"/>
              <c:layout/>
              <c:tx>
                <c:rich>
                  <a:bodyPr/>
                  <a:lstStyle/>
                  <a:p>
                    <a:r>
                      <a:rPr lang="en-AU" b="1"/>
                      <a:t>AND</a:t>
                    </a:r>
                    <a:endParaRPr lang="en-AU"/>
                  </a:p>
                </c:rich>
              </c:tx>
              <c:dLblPos val="r"/>
              <c:showLegendKey val="0"/>
              <c:showVal val="1"/>
              <c:showCatName val="0"/>
              <c:showSerName val="0"/>
              <c:showPercent val="0"/>
              <c:showBubbleSize val="0"/>
            </c:dLbl>
            <c:dLbl>
              <c:idx val="11"/>
              <c:layout>
                <c:manualLayout>
                  <c:x val="-4.6270083724581891E-2"/>
                  <c:y val="-3.0199895013123361E-2"/>
                </c:manualLayout>
              </c:layout>
              <c:tx>
                <c:rich>
                  <a:bodyPr/>
                  <a:lstStyle/>
                  <a:p>
                    <a:r>
                      <a:rPr lang="en-AU" b="1"/>
                      <a:t>TND</a:t>
                    </a:r>
                    <a:endParaRPr lang="en-AU"/>
                  </a:p>
                </c:rich>
              </c:tx>
              <c:dLblPos val="r"/>
              <c:showLegendKey val="0"/>
              <c:showVal val="1"/>
              <c:showCatName val="0"/>
              <c:showSerName val="0"/>
              <c:showPercent val="0"/>
              <c:showBubbleSize val="0"/>
            </c:dLbl>
            <c:dLbl>
              <c:idx val="12"/>
              <c:layout/>
              <c:tx>
                <c:rich>
                  <a:bodyPr/>
                  <a:lstStyle/>
                  <a:p>
                    <a:r>
                      <a:rPr lang="en-AU" b="1"/>
                      <a:t>UED</a:t>
                    </a:r>
                    <a:endParaRPr lang="en-AU"/>
                  </a:p>
                </c:rich>
              </c:tx>
              <c:dLblPos val="r"/>
              <c:showLegendKey val="0"/>
              <c:showVal val="1"/>
              <c:showCatName val="0"/>
              <c:showSerName val="0"/>
              <c:showPercent val="0"/>
              <c:showBubbleSize val="0"/>
            </c:dLbl>
            <c:txPr>
              <a:bodyPr/>
              <a:lstStyle/>
              <a:p>
                <a:pPr>
                  <a:defRPr sz="1200" b="1"/>
                </a:pPr>
                <a:endParaRPr lang="en-US"/>
              </a:p>
            </c:txPr>
            <c:dLblPos val="r"/>
            <c:showLegendKey val="0"/>
            <c:showVal val="1"/>
            <c:showCatName val="0"/>
            <c:showSerName val="0"/>
            <c:showPercent val="0"/>
            <c:showBubbleSize val="0"/>
            <c:showLeaderLines val="0"/>
          </c:dLbls>
          <c:xVal>
            <c:numRef>
              <c:f>Analysis!$L$3:$L$15</c:f>
              <c:numCache>
                <c:formatCode>#,##0.00</c:formatCode>
                <c:ptCount val="13"/>
                <c:pt idx="0">
                  <c:v>44.032043856129668</c:v>
                </c:pt>
                <c:pt idx="1">
                  <c:v>43.85116936254196</c:v>
                </c:pt>
                <c:pt idx="2">
                  <c:v>103.17487904768937</c:v>
                </c:pt>
                <c:pt idx="3">
                  <c:v>33.543764948340595</c:v>
                </c:pt>
                <c:pt idx="4">
                  <c:v>32.164931741978052</c:v>
                </c:pt>
                <c:pt idx="5">
                  <c:v>5.097219926915761</c:v>
                </c:pt>
                <c:pt idx="6">
                  <c:v>4.7326093149031276</c:v>
                </c:pt>
                <c:pt idx="7">
                  <c:v>72.280758328830345</c:v>
                </c:pt>
                <c:pt idx="8">
                  <c:v>11.450519570884238</c:v>
                </c:pt>
                <c:pt idx="9">
                  <c:v>10.470859357299215</c:v>
                </c:pt>
                <c:pt idx="10">
                  <c:v>18.033729499698328</c:v>
                </c:pt>
                <c:pt idx="11">
                  <c:v>13.829330883742543</c:v>
                </c:pt>
                <c:pt idx="12">
                  <c:v>65.062713156514363</c:v>
                </c:pt>
              </c:numCache>
            </c:numRef>
          </c:xVal>
          <c:yVal>
            <c:numRef>
              <c:f>Analysis!$P$3:$P$15</c:f>
              <c:numCache>
                <c:formatCode>"$"#,##0</c:formatCode>
                <c:ptCount val="13"/>
                <c:pt idx="0">
                  <c:v>29823.453997376648</c:v>
                </c:pt>
                <c:pt idx="1">
                  <c:v>39792.255796379868</c:v>
                </c:pt>
                <c:pt idx="2">
                  <c:v>41924.936985456668</c:v>
                </c:pt>
                <c:pt idx="3">
                  <c:v>19362.335171216157</c:v>
                </c:pt>
                <c:pt idx="4">
                  <c:v>19369.544765589992</c:v>
                </c:pt>
                <c:pt idx="5">
                  <c:v>6552.9801998989287</c:v>
                </c:pt>
                <c:pt idx="6">
                  <c:v>5144.476119171919</c:v>
                </c:pt>
                <c:pt idx="7">
                  <c:v>28685.150742783586</c:v>
                </c:pt>
                <c:pt idx="8">
                  <c:v>5844.0494569509965</c:v>
                </c:pt>
                <c:pt idx="9">
                  <c:v>6792.756602932709</c:v>
                </c:pt>
                <c:pt idx="10">
                  <c:v>10798.927111093873</c:v>
                </c:pt>
                <c:pt idx="11">
                  <c:v>9700.054229397263</c:v>
                </c:pt>
                <c:pt idx="12">
                  <c:v>25114.339643344843</c:v>
                </c:pt>
              </c:numCache>
            </c:numRef>
          </c:yVal>
          <c:smooth val="0"/>
        </c:ser>
        <c:dLbls>
          <c:dLblPos val="r"/>
          <c:showLegendKey val="0"/>
          <c:showVal val="1"/>
          <c:showCatName val="0"/>
          <c:showSerName val="0"/>
          <c:showPercent val="0"/>
          <c:showBubbleSize val="0"/>
        </c:dLbls>
        <c:axId val="266780672"/>
        <c:axId val="266793344"/>
      </c:scatterChart>
      <c:valAx>
        <c:axId val="266780672"/>
        <c:scaling>
          <c:orientation val="minMax"/>
        </c:scaling>
        <c:delete val="0"/>
        <c:axPos val="b"/>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a:lstStyle/>
              <a:p>
                <a:pPr>
                  <a:defRPr sz="1400" b="1">
                    <a:latin typeface="+mn-lt"/>
                    <a:cs typeface="Arial" panose="020B0604020202020204" pitchFamily="34" charset="0"/>
                  </a:defRPr>
                </a:pPr>
                <a:r>
                  <a:rPr lang="en-AU" b="1"/>
                  <a:t>Customer</a:t>
                </a:r>
                <a:r>
                  <a:rPr lang="en-AU" b="1" baseline="0"/>
                  <a:t> density (per km)</a:t>
                </a:r>
                <a:endParaRPr lang="en-AU" b="1"/>
              </a:p>
            </c:rich>
          </c:tx>
          <c:layout/>
          <c:overlay val="0"/>
        </c:title>
        <c:numFmt formatCode="#,##0" sourceLinked="0"/>
        <c:majorTickMark val="out"/>
        <c:minorTickMark val="none"/>
        <c:tickLblPos val="nextTo"/>
        <c:txPr>
          <a:bodyPr/>
          <a:lstStyle/>
          <a:p>
            <a:pPr>
              <a:defRPr sz="1200" b="1"/>
            </a:pPr>
            <a:endParaRPr lang="en-US"/>
          </a:p>
        </c:txPr>
        <c:crossAx val="266793344"/>
        <c:crosses val="autoZero"/>
        <c:crossBetween val="midCat"/>
        <c:majorUnit val="10"/>
      </c:valAx>
      <c:valAx>
        <c:axId val="266793344"/>
        <c:scaling>
          <c:orientation val="minMax"/>
        </c:scaling>
        <c:delete val="0"/>
        <c:axPos val="l"/>
        <c:majorGridlines>
          <c:spPr>
            <a:ln>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prstDash val="sysDash"/>
            </a:ln>
          </c:spPr>
        </c:majorGridlines>
        <c:title>
          <c:tx>
            <c:rich>
              <a:bodyPr rot="-5400000" vert="horz"/>
              <a:lstStyle/>
              <a:p>
                <a:pPr>
                  <a:defRPr sz="1400" b="1">
                    <a:latin typeface="+mn-lt"/>
                    <a:cs typeface="Arial" panose="020B0604020202020204" pitchFamily="34" charset="0"/>
                  </a:defRPr>
                </a:pPr>
                <a:r>
                  <a:rPr lang="en-AU" b="1"/>
                  <a:t>Total cost per km of circuit line length</a:t>
                </a:r>
              </a:p>
            </c:rich>
          </c:tx>
          <c:layout>
            <c:manualLayout>
              <c:xMode val="edge"/>
              <c:yMode val="edge"/>
              <c:x val="1.3631196100487439E-2"/>
              <c:y val="0.1477730901005592"/>
            </c:manualLayout>
          </c:layout>
          <c:overlay val="0"/>
        </c:title>
        <c:numFmt formatCode="&quot;$&quot;#,##0" sourceLinked="1"/>
        <c:majorTickMark val="out"/>
        <c:minorTickMark val="none"/>
        <c:tickLblPos val="nextTo"/>
        <c:txPr>
          <a:bodyPr/>
          <a:lstStyle/>
          <a:p>
            <a:pPr>
              <a:defRPr sz="1200" b="1"/>
            </a:pPr>
            <a:endParaRPr lang="en-US"/>
          </a:p>
        </c:txPr>
        <c:crossAx val="26678067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06921310182562"/>
          <c:y val="3.7448969862505802E-2"/>
          <c:w val="0.8332557778811851"/>
          <c:h val="0.69289447690006489"/>
        </c:manualLayout>
      </c:layout>
      <c:barChart>
        <c:barDir val="col"/>
        <c:grouping val="clustered"/>
        <c:varyColors val="0"/>
        <c:ser>
          <c:idx val="0"/>
          <c:order val="0"/>
          <c:tx>
            <c:strRef>
              <c:f>Analysis!$J$2</c:f>
              <c:strCache>
                <c:ptCount val="1"/>
                <c:pt idx="0">
                  <c:v>Customer numbers (5yr avg)</c:v>
                </c:pt>
              </c:strCache>
            </c:strRef>
          </c:tx>
          <c:spPr>
            <a:ln w="3175">
              <a:solidFill>
                <a:schemeClr val="tx1"/>
              </a:solidFill>
            </a:ln>
          </c:spPr>
          <c:invertIfNegative val="0"/>
          <c:dPt>
            <c:idx val="0"/>
            <c:invertIfNegative val="0"/>
            <c:bubble3D val="0"/>
            <c:spPr>
              <a:solidFill>
                <a:srgbClr val="FCC0C0"/>
              </a:solidFill>
              <a:ln w="3175">
                <a:solidFill>
                  <a:schemeClr val="tx1"/>
                </a:solidFill>
              </a:ln>
            </c:spPr>
          </c:dPt>
          <c:dPt>
            <c:idx val="1"/>
            <c:invertIfNegative val="0"/>
            <c:bubble3D val="0"/>
            <c:spPr>
              <a:solidFill>
                <a:srgbClr val="9ECAE1"/>
              </a:solidFill>
              <a:ln w="3175">
                <a:solidFill>
                  <a:schemeClr val="tx1"/>
                </a:solidFill>
              </a:ln>
            </c:spPr>
          </c:dPt>
          <c:dPt>
            <c:idx val="2"/>
            <c:invertIfNegative val="0"/>
            <c:bubble3D val="0"/>
            <c:spPr>
              <a:solidFill>
                <a:srgbClr val="A1D99B"/>
              </a:solidFill>
              <a:ln w="3175">
                <a:solidFill>
                  <a:schemeClr val="tx1"/>
                </a:solidFill>
              </a:ln>
            </c:spPr>
          </c:dPt>
          <c:dPt>
            <c:idx val="3"/>
            <c:invertIfNegative val="0"/>
            <c:bubble3D val="0"/>
            <c:spPr>
              <a:solidFill>
                <a:srgbClr val="DEEBF7"/>
              </a:solidFill>
              <a:ln w="3175">
                <a:solidFill>
                  <a:schemeClr val="tx1"/>
                </a:solidFill>
              </a:ln>
            </c:spPr>
          </c:dPt>
          <c:dPt>
            <c:idx val="4"/>
            <c:invertIfNegative val="0"/>
            <c:bubble3D val="0"/>
            <c:spPr>
              <a:solidFill>
                <a:srgbClr val="BD0026"/>
              </a:solidFill>
              <a:ln w="3175">
                <a:solidFill>
                  <a:schemeClr val="tx1"/>
                </a:solidFill>
              </a:ln>
            </c:spPr>
          </c:dPt>
          <c:dPt>
            <c:idx val="5"/>
            <c:invertIfNegative val="0"/>
            <c:bubble3D val="0"/>
            <c:spPr>
              <a:solidFill>
                <a:srgbClr val="800026"/>
              </a:solidFill>
              <a:ln w="3175">
                <a:solidFill>
                  <a:schemeClr val="tx1"/>
                </a:solidFill>
              </a:ln>
            </c:spPr>
          </c:dPt>
          <c:dPt>
            <c:idx val="6"/>
            <c:invertIfNegative val="0"/>
            <c:bubble3D val="0"/>
            <c:spPr>
              <a:solidFill>
                <a:srgbClr val="C6DBEF"/>
              </a:solidFill>
              <a:ln w="3175">
                <a:solidFill>
                  <a:schemeClr val="tx1"/>
                </a:solidFill>
              </a:ln>
            </c:spPr>
          </c:dPt>
          <c:dPt>
            <c:idx val="7"/>
            <c:invertIfNegative val="0"/>
            <c:bubble3D val="0"/>
            <c:spPr>
              <a:solidFill>
                <a:srgbClr val="41AB5D"/>
              </a:solidFill>
              <a:ln w="3175">
                <a:solidFill>
                  <a:schemeClr val="tx1"/>
                </a:solidFill>
              </a:ln>
            </c:spPr>
          </c:dPt>
          <c:dPt>
            <c:idx val="8"/>
            <c:invertIfNegative val="0"/>
            <c:bubble3D val="0"/>
            <c:spPr>
              <a:solidFill>
                <a:srgbClr val="74C476"/>
              </a:solidFill>
              <a:ln w="3175">
                <a:solidFill>
                  <a:schemeClr val="tx1"/>
                </a:solidFill>
              </a:ln>
            </c:spPr>
          </c:dPt>
          <c:dPt>
            <c:idx val="9"/>
            <c:invertIfNegative val="0"/>
            <c:bubble3D val="0"/>
            <c:spPr>
              <a:solidFill>
                <a:srgbClr val="FD8D3C"/>
              </a:solidFill>
              <a:ln w="3175">
                <a:solidFill>
                  <a:schemeClr val="tx1"/>
                </a:solidFill>
              </a:ln>
            </c:spPr>
          </c:dPt>
          <c:dPt>
            <c:idx val="10"/>
            <c:invertIfNegative val="0"/>
            <c:bubble3D val="0"/>
            <c:spPr>
              <a:solidFill>
                <a:srgbClr val="238B45"/>
              </a:solidFill>
              <a:ln w="3175">
                <a:solidFill>
                  <a:schemeClr val="tx1"/>
                </a:solidFill>
              </a:ln>
            </c:spPr>
          </c:dPt>
          <c:dPt>
            <c:idx val="11"/>
            <c:invertIfNegative val="0"/>
            <c:bubble3D val="0"/>
            <c:spPr>
              <a:solidFill>
                <a:srgbClr val="E7E1EF"/>
              </a:solidFill>
              <a:ln w="3175">
                <a:solidFill>
                  <a:schemeClr val="tx1"/>
                </a:solidFill>
              </a:ln>
            </c:spPr>
          </c:dPt>
          <c:dPt>
            <c:idx val="12"/>
            <c:invertIfNegative val="0"/>
            <c:bubble3D val="0"/>
            <c:spPr>
              <a:solidFill>
                <a:srgbClr val="006D2C"/>
              </a:solidFill>
              <a:ln w="3175">
                <a:solidFill>
                  <a:schemeClr val="tx1"/>
                </a:solidFill>
              </a:ln>
            </c:spPr>
          </c:dPt>
          <c:cat>
            <c:strRef>
              <c:f>Analysis!$A$3:$A$15</c:f>
              <c:strCache>
                <c:ptCount val="13"/>
                <c:pt idx="0">
                  <c:v>ActewAGL</c:v>
                </c:pt>
                <c:pt idx="1">
                  <c:v>Ausgrid</c:v>
                </c:pt>
                <c:pt idx="2">
                  <c:v>CitiPower</c:v>
                </c:pt>
                <c:pt idx="3">
                  <c:v>Endeavour Energy</c:v>
                </c:pt>
                <c:pt idx="4">
                  <c:v>Energex</c:v>
                </c:pt>
                <c:pt idx="5">
                  <c:v>Ergon Energy</c:v>
                </c:pt>
                <c:pt idx="6">
                  <c:v>Essential Energy</c:v>
                </c:pt>
                <c:pt idx="7">
                  <c:v>Jemena</c:v>
                </c:pt>
                <c:pt idx="8">
                  <c:v>Powercor</c:v>
                </c:pt>
                <c:pt idx="9">
                  <c:v>SA Power Networks</c:v>
                </c:pt>
                <c:pt idx="10">
                  <c:v>AusNet Services</c:v>
                </c:pt>
                <c:pt idx="11">
                  <c:v>TasNetworks</c:v>
                </c:pt>
                <c:pt idx="12">
                  <c:v>United Energy</c:v>
                </c:pt>
              </c:strCache>
            </c:strRef>
          </c:cat>
          <c:val>
            <c:numRef>
              <c:f>Analysis!$J$3:$J$15</c:f>
              <c:numCache>
                <c:formatCode>#,##0</c:formatCode>
                <c:ptCount val="13"/>
                <c:pt idx="0">
                  <c:v>179192.7</c:v>
                </c:pt>
                <c:pt idx="1">
                  <c:v>1653142.1441316931</c:v>
                </c:pt>
                <c:pt idx="2">
                  <c:v>326254.67246966285</c:v>
                </c:pt>
                <c:pt idx="3">
                  <c:v>937469.40245849104</c:v>
                </c:pt>
                <c:pt idx="4">
                  <c:v>1379754.4</c:v>
                </c:pt>
                <c:pt idx="5">
                  <c:v>719853.8</c:v>
                </c:pt>
                <c:pt idx="6">
                  <c:v>856585.1</c:v>
                </c:pt>
                <c:pt idx="7">
                  <c:v>320622.40000000002</c:v>
                </c:pt>
                <c:pt idx="8">
                  <c:v>767883.3359994744</c:v>
                </c:pt>
                <c:pt idx="9">
                  <c:v>851254.2</c:v>
                </c:pt>
                <c:pt idx="10">
                  <c:v>690877.4</c:v>
                </c:pt>
                <c:pt idx="11">
                  <c:v>281478.8</c:v>
                </c:pt>
                <c:pt idx="12">
                  <c:v>659447.19999999995</c:v>
                </c:pt>
              </c:numCache>
            </c:numRef>
          </c:val>
        </c:ser>
        <c:dLbls>
          <c:showLegendKey val="0"/>
          <c:showVal val="0"/>
          <c:showCatName val="0"/>
          <c:showSerName val="0"/>
          <c:showPercent val="0"/>
          <c:showBubbleSize val="0"/>
        </c:dLbls>
        <c:gapWidth val="25"/>
        <c:axId val="266147328"/>
        <c:axId val="266148864"/>
      </c:barChart>
      <c:catAx>
        <c:axId val="266147328"/>
        <c:scaling>
          <c:orientation val="minMax"/>
        </c:scaling>
        <c:delete val="0"/>
        <c:axPos val="b"/>
        <c:majorTickMark val="out"/>
        <c:minorTickMark val="none"/>
        <c:tickLblPos val="nextTo"/>
        <c:txPr>
          <a:bodyPr/>
          <a:lstStyle/>
          <a:p>
            <a:pPr>
              <a:defRPr sz="1000" b="1"/>
            </a:pPr>
            <a:endParaRPr lang="en-US"/>
          </a:p>
        </c:txPr>
        <c:crossAx val="266148864"/>
        <c:crosses val="autoZero"/>
        <c:auto val="1"/>
        <c:lblAlgn val="ctr"/>
        <c:lblOffset val="100"/>
        <c:noMultiLvlLbl val="0"/>
      </c:catAx>
      <c:valAx>
        <c:axId val="266148864"/>
        <c:scaling>
          <c:orientation val="minMax"/>
        </c:scaling>
        <c:delete val="0"/>
        <c:axPos val="l"/>
        <c:majorGridlines/>
        <c:title>
          <c:tx>
            <c:rich>
              <a:bodyPr rot="-5400000" vert="horz"/>
              <a:lstStyle/>
              <a:p>
                <a:pPr>
                  <a:defRPr sz="1200" b="1"/>
                </a:pPr>
                <a:r>
                  <a:rPr lang="en-AU" sz="1200" b="1"/>
                  <a:t>Customers</a:t>
                </a:r>
              </a:p>
            </c:rich>
          </c:tx>
          <c:layout>
            <c:manualLayout>
              <c:xMode val="edge"/>
              <c:yMode val="edge"/>
              <c:x val="3.9220833612670586E-3"/>
              <c:y val="0.28675472017610704"/>
            </c:manualLayout>
          </c:layout>
          <c:overlay val="0"/>
        </c:title>
        <c:numFmt formatCode="#,##0" sourceLinked="0"/>
        <c:majorTickMark val="out"/>
        <c:minorTickMark val="none"/>
        <c:tickLblPos val="nextTo"/>
        <c:txPr>
          <a:bodyPr/>
          <a:lstStyle/>
          <a:p>
            <a:pPr>
              <a:defRPr b="1"/>
            </a:pPr>
            <a:endParaRPr lang="en-US"/>
          </a:p>
        </c:txPr>
        <c:crossAx val="26614732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5133273209609"/>
          <c:y val="3.7448969862505802E-2"/>
          <c:w val="0.8429238204798476"/>
          <c:h val="0.67855747551841517"/>
        </c:manualLayout>
      </c:layout>
      <c:barChart>
        <c:barDir val="col"/>
        <c:grouping val="clustered"/>
        <c:varyColors val="0"/>
        <c:ser>
          <c:idx val="0"/>
          <c:order val="0"/>
          <c:tx>
            <c:strRef>
              <c:f>Analysis!$H$2</c:f>
              <c:strCache>
                <c:ptCount val="1"/>
                <c:pt idx="0">
                  <c:v>Route line length (5yr avg)</c:v>
                </c:pt>
              </c:strCache>
            </c:strRef>
          </c:tx>
          <c:spPr>
            <a:ln w="3175">
              <a:solidFill>
                <a:schemeClr val="tx1"/>
              </a:solidFill>
            </a:ln>
          </c:spPr>
          <c:invertIfNegative val="0"/>
          <c:dPt>
            <c:idx val="0"/>
            <c:invertIfNegative val="0"/>
            <c:bubble3D val="0"/>
            <c:spPr>
              <a:solidFill>
                <a:srgbClr val="FCC0C0"/>
              </a:solidFill>
              <a:ln w="3175">
                <a:solidFill>
                  <a:schemeClr val="tx1"/>
                </a:solidFill>
              </a:ln>
            </c:spPr>
          </c:dPt>
          <c:dPt>
            <c:idx val="1"/>
            <c:invertIfNegative val="0"/>
            <c:bubble3D val="0"/>
            <c:spPr>
              <a:solidFill>
                <a:srgbClr val="9ECAE1"/>
              </a:solidFill>
              <a:ln w="3175">
                <a:solidFill>
                  <a:schemeClr val="tx1"/>
                </a:solidFill>
              </a:ln>
            </c:spPr>
          </c:dPt>
          <c:dPt>
            <c:idx val="2"/>
            <c:invertIfNegative val="0"/>
            <c:bubble3D val="0"/>
            <c:spPr>
              <a:solidFill>
                <a:srgbClr val="A1D99B"/>
              </a:solidFill>
              <a:ln w="3175">
                <a:solidFill>
                  <a:schemeClr val="tx1"/>
                </a:solidFill>
              </a:ln>
            </c:spPr>
          </c:dPt>
          <c:dPt>
            <c:idx val="3"/>
            <c:invertIfNegative val="0"/>
            <c:bubble3D val="0"/>
            <c:spPr>
              <a:solidFill>
                <a:srgbClr val="DEEBF7"/>
              </a:solidFill>
              <a:ln w="3175">
                <a:solidFill>
                  <a:schemeClr val="tx1"/>
                </a:solidFill>
              </a:ln>
            </c:spPr>
          </c:dPt>
          <c:dPt>
            <c:idx val="4"/>
            <c:invertIfNegative val="0"/>
            <c:bubble3D val="0"/>
            <c:spPr>
              <a:solidFill>
                <a:srgbClr val="BD0026"/>
              </a:solidFill>
              <a:ln w="3175">
                <a:solidFill>
                  <a:schemeClr val="tx1"/>
                </a:solidFill>
              </a:ln>
            </c:spPr>
          </c:dPt>
          <c:dPt>
            <c:idx val="5"/>
            <c:invertIfNegative val="0"/>
            <c:bubble3D val="0"/>
            <c:spPr>
              <a:solidFill>
                <a:srgbClr val="800026"/>
              </a:solidFill>
              <a:ln w="3175">
                <a:solidFill>
                  <a:schemeClr val="tx1"/>
                </a:solidFill>
              </a:ln>
            </c:spPr>
          </c:dPt>
          <c:dPt>
            <c:idx val="6"/>
            <c:invertIfNegative val="0"/>
            <c:bubble3D val="0"/>
            <c:spPr>
              <a:solidFill>
                <a:srgbClr val="C6DBEF"/>
              </a:solidFill>
              <a:ln w="3175">
                <a:solidFill>
                  <a:schemeClr val="tx1"/>
                </a:solidFill>
              </a:ln>
            </c:spPr>
          </c:dPt>
          <c:dPt>
            <c:idx val="7"/>
            <c:invertIfNegative val="0"/>
            <c:bubble3D val="0"/>
            <c:spPr>
              <a:solidFill>
                <a:srgbClr val="41AB5D"/>
              </a:solidFill>
              <a:ln w="3175">
                <a:solidFill>
                  <a:schemeClr val="tx1"/>
                </a:solidFill>
              </a:ln>
            </c:spPr>
          </c:dPt>
          <c:dPt>
            <c:idx val="8"/>
            <c:invertIfNegative val="0"/>
            <c:bubble3D val="0"/>
            <c:spPr>
              <a:solidFill>
                <a:srgbClr val="74C476"/>
              </a:solidFill>
              <a:ln w="3175">
                <a:solidFill>
                  <a:schemeClr val="tx1"/>
                </a:solidFill>
              </a:ln>
            </c:spPr>
          </c:dPt>
          <c:dPt>
            <c:idx val="9"/>
            <c:invertIfNegative val="0"/>
            <c:bubble3D val="0"/>
            <c:spPr>
              <a:solidFill>
                <a:srgbClr val="FD8D3C"/>
              </a:solidFill>
              <a:ln w="3175">
                <a:solidFill>
                  <a:schemeClr val="tx1"/>
                </a:solidFill>
              </a:ln>
            </c:spPr>
          </c:dPt>
          <c:dPt>
            <c:idx val="10"/>
            <c:invertIfNegative val="0"/>
            <c:bubble3D val="0"/>
            <c:spPr>
              <a:solidFill>
                <a:srgbClr val="238B45"/>
              </a:solidFill>
              <a:ln w="3175">
                <a:solidFill>
                  <a:schemeClr val="tx1"/>
                </a:solidFill>
              </a:ln>
            </c:spPr>
          </c:dPt>
          <c:dPt>
            <c:idx val="11"/>
            <c:invertIfNegative val="0"/>
            <c:bubble3D val="0"/>
            <c:spPr>
              <a:solidFill>
                <a:srgbClr val="E7E1EF"/>
              </a:solidFill>
              <a:ln w="3175">
                <a:solidFill>
                  <a:schemeClr val="tx1"/>
                </a:solidFill>
              </a:ln>
            </c:spPr>
          </c:dPt>
          <c:dPt>
            <c:idx val="12"/>
            <c:invertIfNegative val="0"/>
            <c:bubble3D val="0"/>
            <c:spPr>
              <a:solidFill>
                <a:srgbClr val="006D2C"/>
              </a:solidFill>
              <a:ln w="3175">
                <a:solidFill>
                  <a:schemeClr val="tx1"/>
                </a:solidFill>
              </a:ln>
            </c:spPr>
          </c:dPt>
          <c:cat>
            <c:strRef>
              <c:f>Analysis!$A$3:$A$15</c:f>
              <c:strCache>
                <c:ptCount val="13"/>
                <c:pt idx="0">
                  <c:v>ActewAGL</c:v>
                </c:pt>
                <c:pt idx="1">
                  <c:v>Ausgrid</c:v>
                </c:pt>
                <c:pt idx="2">
                  <c:v>CitiPower</c:v>
                </c:pt>
                <c:pt idx="3">
                  <c:v>Endeavour Energy</c:v>
                </c:pt>
                <c:pt idx="4">
                  <c:v>Energex</c:v>
                </c:pt>
                <c:pt idx="5">
                  <c:v>Ergon Energy</c:v>
                </c:pt>
                <c:pt idx="6">
                  <c:v>Essential Energy</c:v>
                </c:pt>
                <c:pt idx="7">
                  <c:v>Jemena</c:v>
                </c:pt>
                <c:pt idx="8">
                  <c:v>Powercor</c:v>
                </c:pt>
                <c:pt idx="9">
                  <c:v>SA Power Networks</c:v>
                </c:pt>
                <c:pt idx="10">
                  <c:v>AusNet Services</c:v>
                </c:pt>
                <c:pt idx="11">
                  <c:v>TasNetworks</c:v>
                </c:pt>
                <c:pt idx="12">
                  <c:v>United Energy</c:v>
                </c:pt>
              </c:strCache>
            </c:strRef>
          </c:cat>
          <c:val>
            <c:numRef>
              <c:f>Analysis!$H$3:$H$15</c:f>
              <c:numCache>
                <c:formatCode>#,##0</c:formatCode>
                <c:ptCount val="13"/>
                <c:pt idx="0">
                  <c:v>4069.5975999999996</c:v>
                </c:pt>
                <c:pt idx="1">
                  <c:v>37698.929541975253</c:v>
                </c:pt>
                <c:pt idx="2">
                  <c:v>3162.1522165183424</c:v>
                </c:pt>
                <c:pt idx="3">
                  <c:v>27947.65</c:v>
                </c:pt>
                <c:pt idx="4">
                  <c:v>42896.232799999998</c:v>
                </c:pt>
                <c:pt idx="5">
                  <c:v>141224.78730000003</c:v>
                </c:pt>
                <c:pt idx="6">
                  <c:v>180996.36859999999</c:v>
                </c:pt>
                <c:pt idx="7">
                  <c:v>4435.791867890719</c:v>
                </c:pt>
                <c:pt idx="8">
                  <c:v>67061.003760214226</c:v>
                </c:pt>
                <c:pt idx="9">
                  <c:v>81297.453337160172</c:v>
                </c:pt>
                <c:pt idx="10">
                  <c:v>38310.289616551978</c:v>
                </c:pt>
                <c:pt idx="11">
                  <c:v>20353.754087329002</c:v>
                </c:pt>
                <c:pt idx="12">
                  <c:v>10135.562567359262</c:v>
                </c:pt>
              </c:numCache>
            </c:numRef>
          </c:val>
        </c:ser>
        <c:dLbls>
          <c:showLegendKey val="0"/>
          <c:showVal val="0"/>
          <c:showCatName val="0"/>
          <c:showSerName val="0"/>
          <c:showPercent val="0"/>
          <c:showBubbleSize val="0"/>
        </c:dLbls>
        <c:gapWidth val="25"/>
        <c:axId val="266194944"/>
        <c:axId val="266196480"/>
      </c:barChart>
      <c:catAx>
        <c:axId val="266194944"/>
        <c:scaling>
          <c:orientation val="minMax"/>
        </c:scaling>
        <c:delete val="0"/>
        <c:axPos val="b"/>
        <c:majorTickMark val="out"/>
        <c:minorTickMark val="none"/>
        <c:tickLblPos val="nextTo"/>
        <c:txPr>
          <a:bodyPr/>
          <a:lstStyle/>
          <a:p>
            <a:pPr>
              <a:defRPr b="1"/>
            </a:pPr>
            <a:endParaRPr lang="en-US"/>
          </a:p>
        </c:txPr>
        <c:crossAx val="266196480"/>
        <c:crosses val="autoZero"/>
        <c:auto val="1"/>
        <c:lblAlgn val="ctr"/>
        <c:lblOffset val="100"/>
        <c:noMultiLvlLbl val="0"/>
      </c:catAx>
      <c:valAx>
        <c:axId val="266196480"/>
        <c:scaling>
          <c:orientation val="minMax"/>
        </c:scaling>
        <c:delete val="0"/>
        <c:axPos val="l"/>
        <c:majorGridlines/>
        <c:title>
          <c:tx>
            <c:rich>
              <a:bodyPr rot="-5400000" vert="horz"/>
              <a:lstStyle/>
              <a:p>
                <a:pPr>
                  <a:defRPr sz="1200" b="1"/>
                </a:pPr>
                <a:r>
                  <a:rPr lang="en-AU" sz="1200" b="1"/>
                  <a:t>Route line length (km)</a:t>
                </a:r>
              </a:p>
            </c:rich>
          </c:tx>
          <c:layout>
            <c:manualLayout>
              <c:xMode val="edge"/>
              <c:yMode val="edge"/>
              <c:x val="6.5114370009432768E-3"/>
              <c:y val="0.20412017046256314"/>
            </c:manualLayout>
          </c:layout>
          <c:overlay val="0"/>
        </c:title>
        <c:numFmt formatCode="#,##0" sourceLinked="0"/>
        <c:majorTickMark val="out"/>
        <c:minorTickMark val="none"/>
        <c:tickLblPos val="nextTo"/>
        <c:txPr>
          <a:bodyPr/>
          <a:lstStyle/>
          <a:p>
            <a:pPr>
              <a:defRPr b="1"/>
            </a:pPr>
            <a:endParaRPr lang="en-US"/>
          </a:p>
        </c:txPr>
        <c:crossAx val="2661949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29353992041318"/>
          <c:y val="3.7448969862505802E-2"/>
          <c:w val="0.89423004920083915"/>
          <c:h val="0.67855747551841517"/>
        </c:manualLayout>
      </c:layout>
      <c:barChart>
        <c:barDir val="col"/>
        <c:grouping val="clustered"/>
        <c:varyColors val="0"/>
        <c:ser>
          <c:idx val="0"/>
          <c:order val="0"/>
          <c:tx>
            <c:strRef>
              <c:f>Analysis!$AC$2</c:f>
              <c:strCache>
                <c:ptCount val="1"/>
                <c:pt idx="0">
                  <c:v>SAIDI (5yr avg)</c:v>
                </c:pt>
              </c:strCache>
            </c:strRef>
          </c:tx>
          <c:spPr>
            <a:ln w="3175">
              <a:solidFill>
                <a:schemeClr val="tx1"/>
              </a:solidFill>
            </a:ln>
          </c:spPr>
          <c:invertIfNegative val="0"/>
          <c:dPt>
            <c:idx val="0"/>
            <c:invertIfNegative val="0"/>
            <c:bubble3D val="0"/>
            <c:spPr>
              <a:solidFill>
                <a:srgbClr val="FCC0C0"/>
              </a:solidFill>
              <a:ln w="3175">
                <a:solidFill>
                  <a:schemeClr val="tx1"/>
                </a:solidFill>
              </a:ln>
            </c:spPr>
          </c:dPt>
          <c:dPt>
            <c:idx val="1"/>
            <c:invertIfNegative val="0"/>
            <c:bubble3D val="0"/>
            <c:spPr>
              <a:solidFill>
                <a:srgbClr val="9ECAE1"/>
              </a:solidFill>
              <a:ln w="3175">
                <a:solidFill>
                  <a:schemeClr val="tx1"/>
                </a:solidFill>
              </a:ln>
            </c:spPr>
          </c:dPt>
          <c:dPt>
            <c:idx val="2"/>
            <c:invertIfNegative val="0"/>
            <c:bubble3D val="0"/>
            <c:spPr>
              <a:solidFill>
                <a:srgbClr val="A1D99B"/>
              </a:solidFill>
              <a:ln w="3175">
                <a:solidFill>
                  <a:schemeClr val="tx1"/>
                </a:solidFill>
              </a:ln>
            </c:spPr>
          </c:dPt>
          <c:dPt>
            <c:idx val="3"/>
            <c:invertIfNegative val="0"/>
            <c:bubble3D val="0"/>
            <c:spPr>
              <a:solidFill>
                <a:srgbClr val="DEEBF7"/>
              </a:solidFill>
              <a:ln w="3175">
                <a:solidFill>
                  <a:schemeClr val="tx1"/>
                </a:solidFill>
              </a:ln>
            </c:spPr>
          </c:dPt>
          <c:dPt>
            <c:idx val="4"/>
            <c:invertIfNegative val="0"/>
            <c:bubble3D val="0"/>
            <c:spPr>
              <a:solidFill>
                <a:srgbClr val="BD0026"/>
              </a:solidFill>
              <a:ln w="3175">
                <a:solidFill>
                  <a:schemeClr val="tx1"/>
                </a:solidFill>
              </a:ln>
            </c:spPr>
          </c:dPt>
          <c:dPt>
            <c:idx val="5"/>
            <c:invertIfNegative val="0"/>
            <c:bubble3D val="0"/>
            <c:spPr>
              <a:solidFill>
                <a:srgbClr val="800026"/>
              </a:solidFill>
              <a:ln w="3175">
                <a:solidFill>
                  <a:schemeClr val="tx1"/>
                </a:solidFill>
              </a:ln>
            </c:spPr>
          </c:dPt>
          <c:dPt>
            <c:idx val="6"/>
            <c:invertIfNegative val="0"/>
            <c:bubble3D val="0"/>
            <c:spPr>
              <a:solidFill>
                <a:srgbClr val="C6DBEF"/>
              </a:solidFill>
              <a:ln w="3175">
                <a:solidFill>
                  <a:schemeClr val="tx1"/>
                </a:solidFill>
              </a:ln>
            </c:spPr>
          </c:dPt>
          <c:dPt>
            <c:idx val="7"/>
            <c:invertIfNegative val="0"/>
            <c:bubble3D val="0"/>
            <c:spPr>
              <a:solidFill>
                <a:srgbClr val="41AB5D"/>
              </a:solidFill>
              <a:ln w="3175">
                <a:solidFill>
                  <a:schemeClr val="tx1"/>
                </a:solidFill>
              </a:ln>
            </c:spPr>
          </c:dPt>
          <c:dPt>
            <c:idx val="8"/>
            <c:invertIfNegative val="0"/>
            <c:bubble3D val="0"/>
            <c:spPr>
              <a:solidFill>
                <a:srgbClr val="74C476"/>
              </a:solidFill>
              <a:ln w="3175">
                <a:solidFill>
                  <a:schemeClr val="tx1"/>
                </a:solidFill>
              </a:ln>
            </c:spPr>
          </c:dPt>
          <c:dPt>
            <c:idx val="9"/>
            <c:invertIfNegative val="0"/>
            <c:bubble3D val="0"/>
            <c:spPr>
              <a:solidFill>
                <a:srgbClr val="FD8D3C"/>
              </a:solidFill>
              <a:ln w="3175">
                <a:solidFill>
                  <a:schemeClr val="tx1"/>
                </a:solidFill>
              </a:ln>
            </c:spPr>
          </c:dPt>
          <c:dPt>
            <c:idx val="10"/>
            <c:invertIfNegative val="0"/>
            <c:bubble3D val="0"/>
            <c:spPr>
              <a:solidFill>
                <a:srgbClr val="238B45"/>
              </a:solidFill>
              <a:ln w="3175">
                <a:solidFill>
                  <a:schemeClr val="tx1"/>
                </a:solidFill>
              </a:ln>
            </c:spPr>
          </c:dPt>
          <c:dPt>
            <c:idx val="11"/>
            <c:invertIfNegative val="0"/>
            <c:bubble3D val="0"/>
            <c:spPr>
              <a:solidFill>
                <a:srgbClr val="E7E1EF"/>
              </a:solidFill>
              <a:ln w="3175">
                <a:solidFill>
                  <a:schemeClr val="tx1"/>
                </a:solidFill>
              </a:ln>
            </c:spPr>
          </c:dPt>
          <c:dPt>
            <c:idx val="12"/>
            <c:invertIfNegative val="0"/>
            <c:bubble3D val="0"/>
            <c:spPr>
              <a:solidFill>
                <a:srgbClr val="006D2C"/>
              </a:solidFill>
              <a:ln w="3175">
                <a:solidFill>
                  <a:schemeClr val="tx1"/>
                </a:solidFill>
              </a:ln>
            </c:spPr>
          </c:dPt>
          <c:cat>
            <c:strRef>
              <c:f>Analysis!$A$3:$A$15</c:f>
              <c:strCache>
                <c:ptCount val="13"/>
                <c:pt idx="0">
                  <c:v>ActewAGL</c:v>
                </c:pt>
                <c:pt idx="1">
                  <c:v>Ausgrid</c:v>
                </c:pt>
                <c:pt idx="2">
                  <c:v>CitiPower</c:v>
                </c:pt>
                <c:pt idx="3">
                  <c:v>Endeavour Energy</c:v>
                </c:pt>
                <c:pt idx="4">
                  <c:v>Energex</c:v>
                </c:pt>
                <c:pt idx="5">
                  <c:v>Ergon Energy</c:v>
                </c:pt>
                <c:pt idx="6">
                  <c:v>Essential Energy</c:v>
                </c:pt>
                <c:pt idx="7">
                  <c:v>Jemena</c:v>
                </c:pt>
                <c:pt idx="8">
                  <c:v>Powercor</c:v>
                </c:pt>
                <c:pt idx="9">
                  <c:v>SA Power Networks</c:v>
                </c:pt>
                <c:pt idx="10">
                  <c:v>AusNet Services</c:v>
                </c:pt>
                <c:pt idx="11">
                  <c:v>TasNetworks</c:v>
                </c:pt>
                <c:pt idx="12">
                  <c:v>United Energy</c:v>
                </c:pt>
              </c:strCache>
            </c:strRef>
          </c:cat>
          <c:val>
            <c:numRef>
              <c:f>Analysis!$AC$3:$AC$15</c:f>
              <c:numCache>
                <c:formatCode>_-* #,##0.0_-;\-* #,##0.0_-;_-* "-"??_-;_-@_-</c:formatCode>
                <c:ptCount val="13"/>
                <c:pt idx="0">
                  <c:v>31.19443240088945</c:v>
                </c:pt>
                <c:pt idx="1">
                  <c:v>74.163373108702515</c:v>
                </c:pt>
                <c:pt idx="2">
                  <c:v>28.291369737893739</c:v>
                </c:pt>
                <c:pt idx="3">
                  <c:v>91.646606190498034</c:v>
                </c:pt>
                <c:pt idx="4">
                  <c:v>72.00679543604636</c:v>
                </c:pt>
                <c:pt idx="5">
                  <c:v>269.90118000000001</c:v>
                </c:pt>
                <c:pt idx="6">
                  <c:v>217.3833566460988</c:v>
                </c:pt>
                <c:pt idx="7">
                  <c:v>52.239899698633202</c:v>
                </c:pt>
                <c:pt idx="8">
                  <c:v>139.80405641611264</c:v>
                </c:pt>
                <c:pt idx="9">
                  <c:v>140.73400000000001</c:v>
                </c:pt>
                <c:pt idx="10">
                  <c:v>144.83084285061028</c:v>
                </c:pt>
                <c:pt idx="11">
                  <c:v>154.70119721821857</c:v>
                </c:pt>
                <c:pt idx="12">
                  <c:v>70.225275777029154</c:v>
                </c:pt>
              </c:numCache>
            </c:numRef>
          </c:val>
        </c:ser>
        <c:dLbls>
          <c:showLegendKey val="0"/>
          <c:showVal val="0"/>
          <c:showCatName val="0"/>
          <c:showSerName val="0"/>
          <c:showPercent val="0"/>
          <c:showBubbleSize val="0"/>
        </c:dLbls>
        <c:gapWidth val="25"/>
        <c:axId val="266311936"/>
        <c:axId val="266313728"/>
      </c:barChart>
      <c:catAx>
        <c:axId val="266311936"/>
        <c:scaling>
          <c:orientation val="minMax"/>
        </c:scaling>
        <c:delete val="0"/>
        <c:axPos val="b"/>
        <c:majorTickMark val="out"/>
        <c:minorTickMark val="none"/>
        <c:tickLblPos val="nextTo"/>
        <c:txPr>
          <a:bodyPr/>
          <a:lstStyle/>
          <a:p>
            <a:pPr>
              <a:defRPr b="1"/>
            </a:pPr>
            <a:endParaRPr lang="en-US"/>
          </a:p>
        </c:txPr>
        <c:crossAx val="266313728"/>
        <c:crosses val="autoZero"/>
        <c:auto val="1"/>
        <c:lblAlgn val="ctr"/>
        <c:lblOffset val="100"/>
        <c:noMultiLvlLbl val="0"/>
      </c:catAx>
      <c:valAx>
        <c:axId val="266313728"/>
        <c:scaling>
          <c:orientation val="minMax"/>
        </c:scaling>
        <c:delete val="0"/>
        <c:axPos val="l"/>
        <c:majorGridlines/>
        <c:title>
          <c:tx>
            <c:rich>
              <a:bodyPr rot="-5400000" vert="horz"/>
              <a:lstStyle/>
              <a:p>
                <a:pPr>
                  <a:defRPr sz="1200" b="1"/>
                </a:pPr>
                <a:r>
                  <a:rPr lang="en-AU" sz="1200" b="1"/>
                  <a:t>Minutes off supply</a:t>
                </a:r>
                <a:r>
                  <a:rPr lang="en-AU" sz="1200" b="1" baseline="0"/>
                  <a:t> </a:t>
                </a:r>
                <a:endParaRPr lang="en-AU" sz="1200" b="1"/>
              </a:p>
            </c:rich>
          </c:tx>
          <c:layout>
            <c:manualLayout>
              <c:xMode val="edge"/>
              <c:yMode val="edge"/>
              <c:x val="8.9558697635913799E-5"/>
              <c:y val="0.23154547744652684"/>
            </c:manualLayout>
          </c:layout>
          <c:overlay val="0"/>
        </c:title>
        <c:numFmt formatCode="General" sourceLinked="0"/>
        <c:majorTickMark val="out"/>
        <c:minorTickMark val="none"/>
        <c:tickLblPos val="nextTo"/>
        <c:txPr>
          <a:bodyPr/>
          <a:lstStyle/>
          <a:p>
            <a:pPr>
              <a:defRPr b="1"/>
            </a:pPr>
            <a:endParaRPr lang="en-US"/>
          </a:p>
        </c:txPr>
        <c:crossAx val="2663119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601044</xdr:colOff>
      <xdr:row>5</xdr:row>
      <xdr:rowOff>12224</xdr:rowOff>
    </xdr:from>
    <xdr:to>
      <xdr:col>12</xdr:col>
      <xdr:colOff>11206</xdr:colOff>
      <xdr:row>23</xdr:row>
      <xdr:rowOff>235323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51</xdr:row>
      <xdr:rowOff>0</xdr:rowOff>
    </xdr:from>
    <xdr:to>
      <xdr:col>12</xdr:col>
      <xdr:colOff>547687</xdr:colOff>
      <xdr:row>51</xdr:row>
      <xdr:rowOff>0</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44823</xdr:colOff>
      <xdr:row>5</xdr:row>
      <xdr:rowOff>11206</xdr:rowOff>
    </xdr:from>
    <xdr:to>
      <xdr:col>24</xdr:col>
      <xdr:colOff>593911</xdr:colOff>
      <xdr:row>24</xdr:row>
      <xdr:rowOff>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11206</xdr:colOff>
      <xdr:row>5</xdr:row>
      <xdr:rowOff>11206</xdr:rowOff>
    </xdr:from>
    <xdr:to>
      <xdr:col>38</xdr:col>
      <xdr:colOff>0</xdr:colOff>
      <xdr:row>24</xdr:row>
      <xdr:rowOff>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22412</xdr:colOff>
      <xdr:row>30</xdr:row>
      <xdr:rowOff>3</xdr:rowOff>
    </xdr:from>
    <xdr:to>
      <xdr:col>12</xdr:col>
      <xdr:colOff>11207</xdr:colOff>
      <xdr:row>49</xdr:row>
      <xdr:rowOff>2</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11205</xdr:colOff>
      <xdr:row>4</xdr:row>
      <xdr:rowOff>238125</xdr:rowOff>
    </xdr:from>
    <xdr:to>
      <xdr:col>50</xdr:col>
      <xdr:colOff>582705</xdr:colOff>
      <xdr:row>24</xdr:row>
      <xdr:rowOff>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452438</xdr:colOff>
      <xdr:row>20</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588818</xdr:colOff>
      <xdr:row>2</xdr:row>
      <xdr:rowOff>34636</xdr:rowOff>
    </xdr:from>
    <xdr:to>
      <xdr:col>19</xdr:col>
      <xdr:colOff>435120</xdr:colOff>
      <xdr:row>20</xdr:row>
      <xdr:rowOff>148936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25</xdr:row>
      <xdr:rowOff>14286</xdr:rowOff>
    </xdr:from>
    <xdr:to>
      <xdr:col>9</xdr:col>
      <xdr:colOff>504825</xdr:colOff>
      <xdr:row>43</xdr:row>
      <xdr:rowOff>114299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25</xdr:row>
      <xdr:rowOff>0</xdr:rowOff>
    </xdr:from>
    <xdr:to>
      <xdr:col>19</xdr:col>
      <xdr:colOff>457200</xdr:colOff>
      <xdr:row>43</xdr:row>
      <xdr:rowOff>100013</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13608</xdr:colOff>
      <xdr:row>2</xdr:row>
      <xdr:rowOff>13607</xdr:rowOff>
    </xdr:from>
    <xdr:to>
      <xdr:col>29</xdr:col>
      <xdr:colOff>466046</xdr:colOff>
      <xdr:row>20</xdr:row>
      <xdr:rowOff>127907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3</xdr:row>
      <xdr:rowOff>61912</xdr:rowOff>
    </xdr:from>
    <xdr:to>
      <xdr:col>12</xdr:col>
      <xdr:colOff>752475</xdr:colOff>
      <xdr:row>15</xdr:row>
      <xdr:rowOff>176212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323849</xdr:colOff>
      <xdr:row>22</xdr:row>
      <xdr:rowOff>61912</xdr:rowOff>
    </xdr:from>
    <xdr:to>
      <xdr:col>25</xdr:col>
      <xdr:colOff>200024</xdr:colOff>
      <xdr:row>44</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333374</xdr:colOff>
      <xdr:row>46</xdr:row>
      <xdr:rowOff>52387</xdr:rowOff>
    </xdr:from>
    <xdr:to>
      <xdr:col>25</xdr:col>
      <xdr:colOff>228599</xdr:colOff>
      <xdr:row>68</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400049</xdr:colOff>
      <xdr:row>69</xdr:row>
      <xdr:rowOff>119061</xdr:rowOff>
    </xdr:from>
    <xdr:to>
      <xdr:col>25</xdr:col>
      <xdr:colOff>257174</xdr:colOff>
      <xdr:row>90</xdr:row>
      <xdr:rowOff>161924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cheu\Local%20Settings\Temporary%20Internet%20Files\Content.Outlook\SMGVD7WK\Database%20%20mockup%20-%20EBT%20RIN%20data.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6/02AGD201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6-2013/03CI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14/03CIT201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5/03CIT2015.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6/03CIT2016.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06-2013/04EN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14/04END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15/04END20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6/04END2016.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06-2013/05EN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NSP%20AUC.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4/05ENX2014.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15/05ENX2015.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16/05ENX2016.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6-2013/06ERG.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14/06ERG2014.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15/06ERG2015.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16/06ERG2016.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06-2013/07ES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14/07ESS2014.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15/07ESS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6-2013/01ACT.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16/07ESS201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06-2013/08JEN.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14/08JEN2014.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15/08JEN2015.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16/08JEN2016.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06-2013/09PC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14/09PCR2014.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15/09PCR2015.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16/09PCR2016.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06-2013/10S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4/01ACT2014.xlsm"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14/10SAP2014.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15/10SAP2015.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16/10SAP2016.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06-2013/11AND.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14/11AND2014.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15/11AND2015.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16/11AND2016.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06-2013/12TND.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14/12TND2014.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15/12TND20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5/01ACT2015.XLSM"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16/12TND2016.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06-2013/13UED.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14/13UED2014.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15/13UED2015.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16/13UED2016.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06-2013/ActewAGL%202006-14%20-%20EB%20-%20backcast%20using%20new%20CAM%20-201603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6/01ACT201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06-2013/02AG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4/02AGD20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5/02AGD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2AGD2016"/>
    </sheetNames>
    <sheetDataSet>
      <sheetData sheetId="0"/>
      <sheetData sheetId="1"/>
      <sheetData sheetId="2"/>
      <sheetData sheetId="3"/>
      <sheetData sheetId="4">
        <row r="25">
          <cell r="C25">
            <v>1690384512.9489999</v>
          </cell>
        </row>
      </sheetData>
      <sheetData sheetId="5">
        <row r="68">
          <cell r="C68">
            <v>588178866.46726525</v>
          </cell>
        </row>
      </sheetData>
      <sheetData sheetId="6"/>
      <sheetData sheetId="7">
        <row r="13">
          <cell r="C13">
            <v>14675423737.347155</v>
          </cell>
        </row>
        <row r="15">
          <cell r="C15">
            <v>-536496261.8088485</v>
          </cell>
        </row>
        <row r="16">
          <cell r="C16">
            <v>489554936.84261531</v>
          </cell>
        </row>
        <row r="18">
          <cell r="C18">
            <v>14676342574.683115</v>
          </cell>
        </row>
        <row r="61">
          <cell r="C61">
            <v>3534465076.9993691</v>
          </cell>
        </row>
        <row r="63">
          <cell r="C63">
            <v>-88983640.705866992</v>
          </cell>
        </row>
        <row r="66">
          <cell r="C66">
            <v>3532419572.3154898</v>
          </cell>
        </row>
      </sheetData>
      <sheetData sheetId="8">
        <row r="12">
          <cell r="D12">
            <v>25617.656348245</v>
          </cell>
        </row>
        <row r="58">
          <cell r="D58">
            <v>1688281.7206584653</v>
          </cell>
        </row>
        <row r="94">
          <cell r="D94">
            <v>5798.3421600000001</v>
          </cell>
        </row>
      </sheetData>
      <sheetData sheetId="9">
        <row r="13">
          <cell r="C13">
            <v>13088.56</v>
          </cell>
        </row>
        <row r="27">
          <cell r="C27">
            <v>25933.963453265827</v>
          </cell>
        </row>
        <row r="41">
          <cell r="C41">
            <v>15519.247282688642</v>
          </cell>
        </row>
        <row r="79">
          <cell r="C79">
            <v>15766.663</v>
          </cell>
        </row>
        <row r="83">
          <cell r="C83">
            <v>7738</v>
          </cell>
        </row>
        <row r="86">
          <cell r="C86">
            <v>25760</v>
          </cell>
        </row>
      </sheetData>
      <sheetData sheetId="10">
        <row r="17">
          <cell r="D17">
            <v>76.006865543512617</v>
          </cell>
        </row>
        <row r="19">
          <cell r="D19">
            <v>0.70284847293009545</v>
          </cell>
        </row>
      </sheetData>
      <sheetData sheetId="11">
        <row r="10">
          <cell r="D10">
            <v>43.386404633510871</v>
          </cell>
        </row>
        <row r="35">
          <cell r="D35">
            <v>38912.69</v>
          </cell>
        </row>
      </sheetData>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refreshError="1"/>
      <sheetData sheetId="1" refreshError="1"/>
      <sheetData sheetId="2">
        <row r="20">
          <cell r="D20">
            <v>200073.0313666767</v>
          </cell>
        </row>
      </sheetData>
      <sheetData sheetId="3">
        <row r="108">
          <cell r="D108">
            <v>27265.629602043322</v>
          </cell>
          <cell r="E108">
            <v>32341.558254429037</v>
          </cell>
          <cell r="F108">
            <v>32125.623186465349</v>
          </cell>
          <cell r="G108">
            <v>38829.927950286758</v>
          </cell>
          <cell r="H108">
            <v>44123.599004515148</v>
          </cell>
          <cell r="I108">
            <v>41598.284547956326</v>
          </cell>
          <cell r="J108">
            <v>54695.972298482608</v>
          </cell>
          <cell r="K108">
            <v>54384.697735130525</v>
          </cell>
        </row>
      </sheetData>
      <sheetData sheetId="4">
        <row r="8">
          <cell r="D8">
            <v>770764.42469223472</v>
          </cell>
          <cell r="E8">
            <v>813083.31184425682</v>
          </cell>
          <cell r="F8">
            <v>855130.33671700559</v>
          </cell>
          <cell r="G8">
            <v>885822.76735373936</v>
          </cell>
          <cell r="H8">
            <v>969037.21559044626</v>
          </cell>
          <cell r="I8">
            <v>1028094.4815907684</v>
          </cell>
          <cell r="J8">
            <v>1122298.9254462598</v>
          </cell>
          <cell r="K8">
            <v>1204378.4030298064</v>
          </cell>
        </row>
        <row r="10">
          <cell r="D10">
            <v>-49530.346006633255</v>
          </cell>
          <cell r="E10">
            <v>-50521.926211270031</v>
          </cell>
          <cell r="F10">
            <v>-51107.876951435494</v>
          </cell>
          <cell r="G10">
            <v>-54862.072268019823</v>
          </cell>
          <cell r="H10">
            <v>-58379.576308968622</v>
          </cell>
          <cell r="I10">
            <v>-50513.703111735944</v>
          </cell>
          <cell r="J10">
            <v>-55019.391495229938</v>
          </cell>
          <cell r="K10">
            <v>-60167.55945892715</v>
          </cell>
        </row>
        <row r="12">
          <cell r="D12">
            <v>68904.914278072989</v>
          </cell>
          <cell r="E12">
            <v>60946.961002315576</v>
          </cell>
          <cell r="F12">
            <v>65890.668173606871</v>
          </cell>
          <cell r="G12">
            <v>79107.821976089414</v>
          </cell>
          <cell r="H12">
            <v>105462.55143153308</v>
          </cell>
          <cell r="I12">
            <v>117067.58658907385</v>
          </cell>
          <cell r="J12">
            <v>97987.923810570312</v>
          </cell>
          <cell r="K12">
            <v>116268.35452417274</v>
          </cell>
        </row>
        <row r="14">
          <cell r="D14">
            <v>813083.31184425694</v>
          </cell>
          <cell r="E14">
            <v>855130.33671700559</v>
          </cell>
          <cell r="F14">
            <v>885822.76735373947</v>
          </cell>
          <cell r="G14">
            <v>953993.78442221694</v>
          </cell>
          <cell r="H14">
            <v>1028094.4815907686</v>
          </cell>
          <cell r="I14">
            <v>1122298.9254462598</v>
          </cell>
          <cell r="J14">
            <v>1204378.4030298067</v>
          </cell>
          <cell r="K14">
            <v>1284615.0378351281</v>
          </cell>
        </row>
      </sheetData>
      <sheetData sheetId="5">
        <row r="6">
          <cell r="D6">
            <v>5974.9926469298307</v>
          </cell>
          <cell r="E6">
            <v>6079.2982329258366</v>
          </cell>
          <cell r="F6">
            <v>6099.5968399551139</v>
          </cell>
          <cell r="G6">
            <v>6096.4719590413051</v>
          </cell>
          <cell r="H6">
            <v>6209.7110590538878</v>
          </cell>
          <cell r="I6">
            <v>6105.0505741951483</v>
          </cell>
          <cell r="J6">
            <v>6085.1301230161089</v>
          </cell>
          <cell r="K6">
            <v>5981.3549492096299</v>
          </cell>
        </row>
        <row r="47">
          <cell r="D47">
            <v>294971.65817284817</v>
          </cell>
          <cell r="E47">
            <v>299951.29418559512</v>
          </cell>
          <cell r="F47">
            <v>303151.80398687738</v>
          </cell>
          <cell r="G47">
            <v>305984.98426974035</v>
          </cell>
          <cell r="H47">
            <v>310174.96273258881</v>
          </cell>
          <cell r="I47">
            <v>314439.61807555537</v>
          </cell>
          <cell r="J47">
            <v>318643.22002329014</v>
          </cell>
          <cell r="K47">
            <v>322735.81579787645</v>
          </cell>
        </row>
        <row r="66">
          <cell r="D66">
            <v>1311.96</v>
          </cell>
          <cell r="E66">
            <v>1348.64</v>
          </cell>
          <cell r="F66">
            <v>1410.96</v>
          </cell>
          <cell r="G66">
            <v>1448.8</v>
          </cell>
          <cell r="H66">
            <v>1389.2</v>
          </cell>
          <cell r="I66">
            <v>1432.5</v>
          </cell>
          <cell r="J66">
            <v>1358.8</v>
          </cell>
          <cell r="K66">
            <v>1447.9</v>
          </cell>
        </row>
      </sheetData>
      <sheetData sheetId="6">
        <row r="9">
          <cell r="D9">
            <v>1642.4716699728267</v>
          </cell>
        </row>
        <row r="17">
          <cell r="D17">
            <v>2260.873677399999</v>
          </cell>
          <cell r="E17">
            <v>2292.1840148999991</v>
          </cell>
          <cell r="F17">
            <v>2193.0273165597982</v>
          </cell>
          <cell r="G17">
            <v>2192.0000000000005</v>
          </cell>
          <cell r="H17">
            <v>2185.2934951813377</v>
          </cell>
          <cell r="I17">
            <v>2223</v>
          </cell>
          <cell r="J17">
            <v>2230</v>
          </cell>
          <cell r="K17">
            <v>2233</v>
          </cell>
        </row>
        <row r="28">
          <cell r="D28">
            <v>1690.7516766420017</v>
          </cell>
          <cell r="E28">
            <v>1783.5898276337589</v>
          </cell>
          <cell r="F28">
            <v>1843.3371883189061</v>
          </cell>
          <cell r="G28">
            <v>1877.7536800785083</v>
          </cell>
          <cell r="H28">
            <v>1914.1174746684087</v>
          </cell>
          <cell r="I28">
            <v>2061</v>
          </cell>
          <cell r="J28">
            <v>2073</v>
          </cell>
          <cell r="K28">
            <v>2114</v>
          </cell>
        </row>
        <row r="52">
          <cell r="D52">
            <v>3400.21</v>
          </cell>
          <cell r="E52">
            <v>3467.06</v>
          </cell>
          <cell r="F52">
            <v>3691.91</v>
          </cell>
          <cell r="G52">
            <v>3775.44</v>
          </cell>
          <cell r="H52">
            <v>3873.29</v>
          </cell>
          <cell r="I52">
            <v>3919.49</v>
          </cell>
          <cell r="J52">
            <v>3967.91</v>
          </cell>
          <cell r="K52">
            <v>4080.51</v>
          </cell>
        </row>
        <row r="57">
          <cell r="D57">
            <v>0</v>
          </cell>
          <cell r="E57">
            <v>0</v>
          </cell>
          <cell r="F57">
            <v>0</v>
          </cell>
          <cell r="G57">
            <v>0</v>
          </cell>
          <cell r="H57">
            <v>0</v>
          </cell>
          <cell r="I57">
            <v>0</v>
          </cell>
          <cell r="J57">
            <v>0</v>
          </cell>
          <cell r="K57">
            <v>0</v>
          </cell>
        </row>
        <row r="60">
          <cell r="D60">
            <v>2511.9</v>
          </cell>
          <cell r="E60">
            <v>2525.4</v>
          </cell>
          <cell r="F60">
            <v>2525.4</v>
          </cell>
          <cell r="G60">
            <v>2520</v>
          </cell>
          <cell r="H60">
            <v>2630</v>
          </cell>
          <cell r="I60">
            <v>2685</v>
          </cell>
          <cell r="J60">
            <v>2740</v>
          </cell>
          <cell r="K60">
            <v>2740</v>
          </cell>
        </row>
      </sheetData>
      <sheetData sheetId="7">
        <row r="13">
          <cell r="D13">
            <v>24.725570762254232</v>
          </cell>
          <cell r="E13">
            <v>21.906217701678496</v>
          </cell>
          <cell r="F13">
            <v>16.601113307461898</v>
          </cell>
          <cell r="G13">
            <v>29.618728230424427</v>
          </cell>
          <cell r="H13">
            <v>30.021198669582894</v>
          </cell>
          <cell r="I13">
            <v>22.710519896521433</v>
          </cell>
          <cell r="J13">
            <v>29.14513647014126</v>
          </cell>
          <cell r="K13">
            <v>26.9238056540968</v>
          </cell>
        </row>
        <row r="15">
          <cell r="D15">
            <v>0.53116918957042869</v>
          </cell>
          <cell r="E15">
            <v>0.46830098593350739</v>
          </cell>
          <cell r="F15">
            <v>0.30723715961154247</v>
          </cell>
          <cell r="G15">
            <v>0.5459891504699973</v>
          </cell>
          <cell r="H15">
            <v>0.43566630861019201</v>
          </cell>
          <cell r="I15">
            <v>0.40297597267960433</v>
          </cell>
          <cell r="J15">
            <v>0.46894750174147937</v>
          </cell>
          <cell r="K15">
            <v>0.39452718435981182</v>
          </cell>
        </row>
      </sheetData>
      <sheetData sheetId="8">
        <row r="6">
          <cell r="D6">
            <v>103.65611228166941</v>
          </cell>
        </row>
        <row r="27">
          <cell r="D27">
            <v>2845.6754906194865</v>
          </cell>
          <cell r="E27">
            <v>2932.7604912907145</v>
          </cell>
          <cell r="F27">
            <v>2899.041974367226</v>
          </cell>
          <cell r="G27">
            <v>2921.4818156414794</v>
          </cell>
          <cell r="H27">
            <v>2940.3415642628752</v>
          </cell>
          <cell r="I27">
            <v>3068.8208138593104</v>
          </cell>
          <cell r="J27">
            <v>3082.5602833357207</v>
          </cell>
          <cell r="K27">
            <v>3112.9464161883607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254481.26302540567</v>
          </cell>
        </row>
      </sheetData>
      <sheetData sheetId="3">
        <row r="203">
          <cell r="E203">
            <v>6186.4874651968512</v>
          </cell>
        </row>
        <row r="210">
          <cell r="E210">
            <v>50624.70227809262</v>
          </cell>
        </row>
        <row r="212">
          <cell r="E212">
            <v>6186.4874651968512</v>
          </cell>
        </row>
      </sheetData>
      <sheetData sheetId="4"/>
      <sheetData sheetId="5">
        <row r="13">
          <cell r="E13">
            <v>1284239.0542126466</v>
          </cell>
        </row>
        <row r="15">
          <cell r="E15">
            <v>-64915.93216032887</v>
          </cell>
        </row>
        <row r="17">
          <cell r="E17">
            <v>130039.91474350206</v>
          </cell>
        </row>
        <row r="19">
          <cell r="E19">
            <v>1376906.1867794723</v>
          </cell>
        </row>
      </sheetData>
      <sheetData sheetId="6">
        <row r="12">
          <cell r="E12">
            <v>5919.4020721637098</v>
          </cell>
        </row>
        <row r="54">
          <cell r="E54">
            <v>325917.15180561459</v>
          </cell>
        </row>
        <row r="86">
          <cell r="E86">
            <v>1439.3200000000002</v>
          </cell>
        </row>
      </sheetData>
      <sheetData sheetId="7">
        <row r="14">
          <cell r="E14">
            <v>1633.03235</v>
          </cell>
        </row>
        <row r="28">
          <cell r="E28">
            <v>2270.3383899999999</v>
          </cell>
        </row>
        <row r="43">
          <cell r="E43">
            <v>2211.136571</v>
          </cell>
        </row>
        <row r="78">
          <cell r="E78">
            <v>4170.99</v>
          </cell>
        </row>
        <row r="83">
          <cell r="E83">
            <v>0</v>
          </cell>
        </row>
        <row r="86">
          <cell r="E86">
            <v>2826.9</v>
          </cell>
        </row>
      </sheetData>
      <sheetData sheetId="8">
        <row r="19">
          <cell r="E19">
            <v>34.507169219613324</v>
          </cell>
        </row>
        <row r="21">
          <cell r="E21">
            <v>0.41583952847700179</v>
          </cell>
        </row>
      </sheetData>
      <sheetData sheetId="9">
        <row r="12">
          <cell r="E12">
            <v>102.29661016949153</v>
          </cell>
        </row>
        <row r="33">
          <cell r="E33">
            <v>3186</v>
          </cell>
        </row>
      </sheetData>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287665232.17571038</v>
          </cell>
        </row>
      </sheetData>
      <sheetData sheetId="3">
        <row r="201">
          <cell r="E201">
            <v>55839517.999999903</v>
          </cell>
        </row>
      </sheetData>
      <sheetData sheetId="4"/>
      <sheetData sheetId="5">
        <row r="13">
          <cell r="E13">
            <v>1357566128.2688437</v>
          </cell>
        </row>
        <row r="15">
          <cell r="E15">
            <v>-70805733.439347863</v>
          </cell>
        </row>
        <row r="17">
          <cell r="E17">
            <v>124491643.50499114</v>
          </cell>
        </row>
        <row r="19">
          <cell r="E19">
            <v>1426250409.5351107</v>
          </cell>
        </row>
      </sheetData>
      <sheetData sheetId="6">
        <row r="12">
          <cell r="E12">
            <v>5944.1730622223004</v>
          </cell>
        </row>
        <row r="54">
          <cell r="E54">
            <v>327907.17472153297</v>
          </cell>
        </row>
        <row r="86">
          <cell r="E86">
            <v>1244.1674392</v>
          </cell>
        </row>
      </sheetData>
      <sheetData sheetId="7">
        <row r="14">
          <cell r="E14">
            <v>1634.5664400000901</v>
          </cell>
        </row>
        <row r="28">
          <cell r="E28">
            <v>2272.2336600000899</v>
          </cell>
        </row>
        <row r="43">
          <cell r="E43">
            <v>2233.2444600000103</v>
          </cell>
        </row>
        <row r="78">
          <cell r="E78">
            <v>4252.6000000000004</v>
          </cell>
        </row>
        <row r="83">
          <cell r="E83">
            <v>0</v>
          </cell>
        </row>
        <row r="86">
          <cell r="E86">
            <v>2777</v>
          </cell>
        </row>
      </sheetData>
      <sheetData sheetId="8">
        <row r="19">
          <cell r="E19">
            <v>26.380737345617302</v>
          </cell>
        </row>
        <row r="21">
          <cell r="E21">
            <v>0.39037790116430998</v>
          </cell>
        </row>
      </sheetData>
      <sheetData sheetId="9">
        <row r="12">
          <cell r="E12">
            <v>102.38606340264865</v>
          </cell>
        </row>
        <row r="33">
          <cell r="E33">
            <v>3202.6543830676301</v>
          </cell>
        </row>
      </sheetData>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sheetData sheetId="4">
        <row r="25">
          <cell r="C25">
            <v>279300357</v>
          </cell>
        </row>
      </sheetData>
      <sheetData sheetId="5"/>
      <sheetData sheetId="6"/>
      <sheetData sheetId="7">
        <row r="13">
          <cell r="C13">
            <v>1432454385</v>
          </cell>
        </row>
        <row r="15">
          <cell r="C15">
            <v>-78958452</v>
          </cell>
        </row>
        <row r="16">
          <cell r="C16">
            <v>101864319</v>
          </cell>
        </row>
        <row r="18">
          <cell r="C18">
            <v>1476836259</v>
          </cell>
        </row>
      </sheetData>
      <sheetData sheetId="8">
        <row r="12">
          <cell r="D12">
            <v>5877</v>
          </cell>
        </row>
        <row r="58">
          <cell r="D58">
            <v>336070</v>
          </cell>
        </row>
        <row r="94">
          <cell r="D94">
            <v>1373</v>
          </cell>
        </row>
      </sheetData>
      <sheetData sheetId="9">
        <row r="13">
          <cell r="C13">
            <v>1637</v>
          </cell>
        </row>
        <row r="27">
          <cell r="C27">
            <v>2274.4</v>
          </cell>
        </row>
        <row r="41">
          <cell r="C41">
            <v>2266.7999999999997</v>
          </cell>
        </row>
        <row r="79">
          <cell r="C79">
            <v>4345</v>
          </cell>
        </row>
        <row r="83">
          <cell r="C83">
            <v>0</v>
          </cell>
        </row>
        <row r="86">
          <cell r="C86">
            <v>2777</v>
          </cell>
        </row>
      </sheetData>
      <sheetData sheetId="10">
        <row r="17">
          <cell r="D17">
            <v>24.5</v>
          </cell>
        </row>
        <row r="19">
          <cell r="D19">
            <v>0.4</v>
          </cell>
        </row>
      </sheetData>
      <sheetData sheetId="11">
        <row r="10">
          <cell r="D10">
            <v>104.2</v>
          </cell>
        </row>
        <row r="35">
          <cell r="D35">
            <v>3226.6</v>
          </cell>
        </row>
      </sheetData>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533636.00000000012</v>
          </cell>
        </row>
      </sheetData>
      <sheetData sheetId="3">
        <row r="54">
          <cell r="D54">
            <v>156824.91789216295</v>
          </cell>
          <cell r="E54">
            <v>176841.3944329306</v>
          </cell>
          <cell r="F54">
            <v>224408.06001672792</v>
          </cell>
          <cell r="G54">
            <v>214131.3002650959</v>
          </cell>
          <cell r="H54">
            <v>210431.13798086444</v>
          </cell>
          <cell r="I54">
            <v>229554.29065953355</v>
          </cell>
          <cell r="J54">
            <v>240838.12724750844</v>
          </cell>
          <cell r="K54">
            <v>222645.27398422692</v>
          </cell>
        </row>
      </sheetData>
      <sheetData sheetId="4">
        <row r="8">
          <cell r="D8">
            <v>2400536.1865705247</v>
          </cell>
          <cell r="E8">
            <v>2655534.2755583851</v>
          </cell>
          <cell r="F8">
            <v>2969253.9989374783</v>
          </cell>
          <cell r="G8">
            <v>3230849.8910441748</v>
          </cell>
          <cell r="H8">
            <v>3642433.1497053583</v>
          </cell>
          <cell r="I8">
            <v>3895267.8817860698</v>
          </cell>
          <cell r="J8">
            <v>4296433.863977178</v>
          </cell>
          <cell r="K8">
            <v>4860848.5508852918</v>
          </cell>
        </row>
        <row r="10">
          <cell r="D10">
            <v>-136093.73158276052</v>
          </cell>
          <cell r="E10">
            <v>-151899.50096531416</v>
          </cell>
          <cell r="F10">
            <v>-170107.81444745406</v>
          </cell>
          <cell r="G10">
            <v>-186386.75386229341</v>
          </cell>
          <cell r="H10">
            <v>-231503.34844963165</v>
          </cell>
          <cell r="I10">
            <v>-212225.41499055939</v>
          </cell>
          <cell r="J10">
            <v>-223651.96512468086</v>
          </cell>
          <cell r="K10">
            <v>-229124.43577041305</v>
          </cell>
        </row>
        <row r="12">
          <cell r="D12">
            <v>337440.99616323283</v>
          </cell>
          <cell r="E12">
            <v>381686.38824476546</v>
          </cell>
          <cell r="F12">
            <v>374790.18281153147</v>
          </cell>
          <cell r="G12">
            <v>465036.15707499499</v>
          </cell>
          <cell r="H12">
            <v>422665.23143731151</v>
          </cell>
          <cell r="I12">
            <v>508207.7772541361</v>
          </cell>
          <cell r="J12">
            <v>646401.00703489629</v>
          </cell>
          <cell r="K12">
            <v>589205.82073191123</v>
          </cell>
        </row>
        <row r="14">
          <cell r="D14">
            <v>2655534.275558386</v>
          </cell>
          <cell r="E14">
            <v>2969253.9989374783</v>
          </cell>
          <cell r="F14">
            <v>3230849.8910441743</v>
          </cell>
          <cell r="G14">
            <v>3642433.1497053578</v>
          </cell>
          <cell r="H14">
            <v>3895267.8817860694</v>
          </cell>
          <cell r="I14">
            <v>4296433.863977178</v>
          </cell>
          <cell r="J14">
            <v>4860848.5508852918</v>
          </cell>
          <cell r="K14">
            <v>5295965.5158049921</v>
          </cell>
        </row>
        <row r="58">
          <cell r="D58">
            <v>577307.49225001968</v>
          </cell>
          <cell r="E58">
            <v>706596.19769375143</v>
          </cell>
          <cell r="F58">
            <v>887245.93651154474</v>
          </cell>
          <cell r="G58">
            <v>1033066.5764218355</v>
          </cell>
          <cell r="H58">
            <v>1298075.446277204</v>
          </cell>
          <cell r="I58">
            <v>1483157.269102114</v>
          </cell>
          <cell r="J58">
            <v>1746562.1599590483</v>
          </cell>
          <cell r="K58">
            <v>2137202.562020753</v>
          </cell>
        </row>
        <row r="60">
          <cell r="D60">
            <v>-19122.896921894626</v>
          </cell>
          <cell r="E60">
            <v>-23788.357430868982</v>
          </cell>
          <cell r="F60">
            <v>-25805.893783347747</v>
          </cell>
          <cell r="G60">
            <v>-31788.745186515283</v>
          </cell>
          <cell r="H60">
            <v>-44039.585443986245</v>
          </cell>
          <cell r="I60">
            <v>-42124.884257069818</v>
          </cell>
          <cell r="J60">
            <v>-49630.418827217167</v>
          </cell>
          <cell r="K60">
            <v>-54803.973565222128</v>
          </cell>
        </row>
        <row r="62">
          <cell r="D62">
            <v>133553.54264626466</v>
          </cell>
          <cell r="E62">
            <v>180853.48711749082</v>
          </cell>
          <cell r="F62">
            <v>151855.09123231965</v>
          </cell>
          <cell r="G62">
            <v>252156.54749039109</v>
          </cell>
          <cell r="H62">
            <v>206821.02120003721</v>
          </cell>
          <cell r="I62">
            <v>263663.73018478643</v>
          </cell>
          <cell r="J62">
            <v>381455.99197524646</v>
          </cell>
          <cell r="K62">
            <v>303856.06917688518</v>
          </cell>
        </row>
        <row r="64">
          <cell r="D64">
            <v>706596.19769375143</v>
          </cell>
          <cell r="E64">
            <v>887245.93651154474</v>
          </cell>
          <cell r="F64">
            <v>1033066.5764218355</v>
          </cell>
          <cell r="G64">
            <v>1298075.446277204</v>
          </cell>
          <cell r="H64">
            <v>1483157.269102114</v>
          </cell>
          <cell r="I64">
            <v>1746562.1599590483</v>
          </cell>
          <cell r="J64">
            <v>2137202.562020753</v>
          </cell>
          <cell r="K64">
            <v>2422795.9528663773</v>
          </cell>
        </row>
      </sheetData>
      <sheetData sheetId="5">
        <row r="6">
          <cell r="D6">
            <v>17196</v>
          </cell>
          <cell r="E6">
            <v>17482.559368937189</v>
          </cell>
          <cell r="F6">
            <v>18111.697</v>
          </cell>
          <cell r="G6">
            <v>17425.962</v>
          </cell>
          <cell r="H6">
            <v>17410.773000000001</v>
          </cell>
          <cell r="I6">
            <v>17501.186278246016</v>
          </cell>
          <cell r="J6">
            <v>16505.800201592276</v>
          </cell>
          <cell r="K6">
            <v>16000.807428106313</v>
          </cell>
        </row>
        <row r="47">
          <cell r="D47">
            <v>849548.29330195289</v>
          </cell>
          <cell r="E47">
            <v>859722.30529925239</v>
          </cell>
          <cell r="F47">
            <v>869654.53679641755</v>
          </cell>
          <cell r="G47">
            <v>878612.20779662021</v>
          </cell>
          <cell r="H47">
            <v>886064.29272155382</v>
          </cell>
          <cell r="I47">
            <v>895088.26980019733</v>
          </cell>
          <cell r="J47">
            <v>903746.68839345104</v>
          </cell>
          <cell r="K47">
            <v>919384.82389900391</v>
          </cell>
        </row>
        <row r="66">
          <cell r="D66">
            <v>3779.0286552165171</v>
          </cell>
          <cell r="E66">
            <v>3704.4117377395846</v>
          </cell>
          <cell r="F66">
            <v>3690.1265355056503</v>
          </cell>
          <cell r="G66">
            <v>4004.2594068622934</v>
          </cell>
          <cell r="H66">
            <v>3928.5643727093911</v>
          </cell>
          <cell r="I66">
            <v>4162.0593220702658</v>
          </cell>
          <cell r="J66">
            <v>3377.3132282157821</v>
          </cell>
          <cell r="K66">
            <v>3825.0089998997355</v>
          </cell>
        </row>
      </sheetData>
      <sheetData sheetId="6">
        <row r="9">
          <cell r="D9">
            <v>8916</v>
          </cell>
        </row>
        <row r="17">
          <cell r="D17">
            <v>23387</v>
          </cell>
          <cell r="E17">
            <v>23409</v>
          </cell>
          <cell r="F17">
            <v>23440</v>
          </cell>
          <cell r="G17">
            <v>23443</v>
          </cell>
          <cell r="H17">
            <v>23431</v>
          </cell>
          <cell r="I17">
            <v>23411</v>
          </cell>
          <cell r="J17">
            <v>23417</v>
          </cell>
          <cell r="K17">
            <v>23412</v>
          </cell>
        </row>
        <row r="27">
          <cell r="D27">
            <v>9045</v>
          </cell>
          <cell r="E27">
            <v>9423</v>
          </cell>
          <cell r="F27">
            <v>9859</v>
          </cell>
          <cell r="G27">
            <v>10136</v>
          </cell>
          <cell r="H27">
            <v>10386</v>
          </cell>
          <cell r="I27">
            <v>10761</v>
          </cell>
          <cell r="J27">
            <v>11151</v>
          </cell>
          <cell r="K27">
            <v>11617</v>
          </cell>
        </row>
        <row r="51">
          <cell r="D51">
            <v>7393.9449999999997</v>
          </cell>
          <cell r="E51">
            <v>7717.0170000000007</v>
          </cell>
          <cell r="F51">
            <v>8055.5770000000002</v>
          </cell>
          <cell r="G51">
            <v>8305.107</v>
          </cell>
          <cell r="H51">
            <v>8534.1590000000015</v>
          </cell>
          <cell r="I51">
            <v>8791.93</v>
          </cell>
          <cell r="J51">
            <v>9007.5589999999993</v>
          </cell>
          <cell r="K51">
            <v>9222.1629999999986</v>
          </cell>
        </row>
        <row r="56">
          <cell r="D56">
            <v>4844</v>
          </cell>
          <cell r="E56">
            <v>5354</v>
          </cell>
          <cell r="F56">
            <v>5534</v>
          </cell>
          <cell r="G56">
            <v>5706</v>
          </cell>
          <cell r="H56">
            <v>5864</v>
          </cell>
          <cell r="I56">
            <v>5864</v>
          </cell>
          <cell r="J56">
            <v>6104</v>
          </cell>
          <cell r="K56">
            <v>6104</v>
          </cell>
        </row>
        <row r="59">
          <cell r="D59">
            <v>11766</v>
          </cell>
          <cell r="E59">
            <v>12846</v>
          </cell>
          <cell r="F59">
            <v>13226.5</v>
          </cell>
          <cell r="G59">
            <v>13593.75</v>
          </cell>
          <cell r="H59">
            <v>14053.75</v>
          </cell>
          <cell r="I59">
            <v>14069.5</v>
          </cell>
          <cell r="J59">
            <v>14566</v>
          </cell>
          <cell r="K59">
            <v>15121</v>
          </cell>
        </row>
      </sheetData>
      <sheetData sheetId="7">
        <row r="13">
          <cell r="D13">
            <v>99.3</v>
          </cell>
          <cell r="E13">
            <v>96</v>
          </cell>
          <cell r="F13">
            <v>101.7</v>
          </cell>
          <cell r="G13">
            <v>96.3</v>
          </cell>
          <cell r="H13">
            <v>79.400000000000006</v>
          </cell>
          <cell r="I13">
            <v>76.900000000000006</v>
          </cell>
          <cell r="J13">
            <v>93.3</v>
          </cell>
          <cell r="K13">
            <v>104.3</v>
          </cell>
        </row>
        <row r="15">
          <cell r="D15">
            <v>1.212</v>
          </cell>
          <cell r="E15">
            <v>1.22</v>
          </cell>
          <cell r="F15">
            <v>1.232</v>
          </cell>
          <cell r="G15">
            <v>1.1020000000000001</v>
          </cell>
          <cell r="H15">
            <v>0.97299999999999998</v>
          </cell>
          <cell r="I15">
            <v>0.89800000000000002</v>
          </cell>
          <cell r="J15">
            <v>1.0129999999999999</v>
          </cell>
          <cell r="K15">
            <v>1.216</v>
          </cell>
        </row>
      </sheetData>
      <sheetData sheetId="8">
        <row r="6">
          <cell r="D6">
            <v>33.08944326824696</v>
          </cell>
        </row>
        <row r="27">
          <cell r="D27">
            <v>25674.3</v>
          </cell>
          <cell r="E27">
            <v>25991</v>
          </cell>
          <cell r="F27">
            <v>26360.6</v>
          </cell>
          <cell r="G27">
            <v>26582.3</v>
          </cell>
          <cell r="H27">
            <v>26770.7</v>
          </cell>
          <cell r="I27">
            <v>27051.7</v>
          </cell>
          <cell r="J27">
            <v>27350.2</v>
          </cell>
          <cell r="K27">
            <v>27730.2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1009898.5404404283</v>
          </cell>
        </row>
      </sheetData>
      <sheetData sheetId="3">
        <row r="201">
          <cell r="E201">
            <v>258321.99304766822</v>
          </cell>
        </row>
        <row r="210">
          <cell r="E210">
            <v>258321.99304766822</v>
          </cell>
        </row>
      </sheetData>
      <sheetData sheetId="4"/>
      <sheetData sheetId="5">
        <row r="13">
          <cell r="E13">
            <v>5295965.515804993</v>
          </cell>
        </row>
        <row r="15">
          <cell r="E15">
            <v>-228112.13052171684</v>
          </cell>
        </row>
        <row r="17">
          <cell r="E17">
            <v>455307.63873612997</v>
          </cell>
        </row>
        <row r="19">
          <cell r="E19">
            <v>5649729.3767032195</v>
          </cell>
        </row>
        <row r="63">
          <cell r="E63">
            <v>2422795.9528663773</v>
          </cell>
        </row>
        <row r="65">
          <cell r="E65">
            <v>-60989.804540113619</v>
          </cell>
        </row>
        <row r="67">
          <cell r="E67">
            <v>174489.12645528288</v>
          </cell>
        </row>
        <row r="69">
          <cell r="E69">
            <v>2594716.3617640464</v>
          </cell>
        </row>
      </sheetData>
      <sheetData sheetId="6">
        <row r="12">
          <cell r="E12">
            <v>15636.951096853025</v>
          </cell>
        </row>
        <row r="54">
          <cell r="E54">
            <v>940028.5</v>
          </cell>
        </row>
        <row r="86">
          <cell r="E86">
            <v>3361.1572785849503</v>
          </cell>
        </row>
      </sheetData>
      <sheetData sheetId="7">
        <row r="14">
          <cell r="E14">
            <v>8849.7170000000006</v>
          </cell>
        </row>
        <row r="28">
          <cell r="E28">
            <v>23387.318999999996</v>
          </cell>
        </row>
        <row r="43">
          <cell r="E43">
            <v>12104.67</v>
          </cell>
        </row>
        <row r="78">
          <cell r="E78">
            <v>9439.9030000000002</v>
          </cell>
        </row>
        <row r="83">
          <cell r="E83">
            <v>5540</v>
          </cell>
        </row>
        <row r="86">
          <cell r="E86">
            <v>15353.5</v>
          </cell>
        </row>
      </sheetData>
      <sheetData sheetId="8">
        <row r="19">
          <cell r="E19">
            <v>82.6</v>
          </cell>
        </row>
        <row r="21">
          <cell r="E21">
            <v>0.98</v>
          </cell>
        </row>
      </sheetData>
      <sheetData sheetId="9">
        <row r="12">
          <cell r="E12">
            <v>33.464880740477035</v>
          </cell>
        </row>
        <row r="33">
          <cell r="E33">
            <v>28090</v>
          </cell>
        </row>
      </sheetData>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984528018.09113133</v>
          </cell>
        </row>
      </sheetData>
      <sheetData sheetId="3">
        <row r="201">
          <cell r="E201">
            <v>270954435.19109797</v>
          </cell>
        </row>
      </sheetData>
      <sheetData sheetId="4"/>
      <sheetData sheetId="5">
        <row r="13">
          <cell r="E13">
            <v>5600128686.0574455</v>
          </cell>
        </row>
        <row r="15">
          <cell r="E15">
            <v>-203191251.37629557</v>
          </cell>
        </row>
        <row r="17">
          <cell r="E17">
            <v>380869901.81525284</v>
          </cell>
        </row>
        <row r="19">
          <cell r="E19">
            <v>5912221776.1879673</v>
          </cell>
        </row>
        <row r="63">
          <cell r="E63">
            <v>2225873853.0289288</v>
          </cell>
        </row>
        <row r="65">
          <cell r="E65">
            <v>-66140317.635673091</v>
          </cell>
        </row>
        <row r="67">
          <cell r="E67">
            <v>131730860.1172626</v>
          </cell>
        </row>
        <row r="69">
          <cell r="E69">
            <v>2344914112.9226003</v>
          </cell>
        </row>
      </sheetData>
      <sheetData sheetId="6">
        <row r="12">
          <cell r="E12">
            <v>16127.500730873366</v>
          </cell>
        </row>
        <row r="54">
          <cell r="E54">
            <v>955832.5</v>
          </cell>
        </row>
        <row r="86">
          <cell r="E86">
            <v>3592.95984146705</v>
          </cell>
        </row>
      </sheetData>
      <sheetData sheetId="7">
        <row r="14">
          <cell r="E14">
            <v>8842.8220000000001</v>
          </cell>
        </row>
        <row r="28">
          <cell r="E28">
            <v>23369.325000000001</v>
          </cell>
        </row>
        <row r="43">
          <cell r="E43">
            <v>12635.856619000002</v>
          </cell>
        </row>
        <row r="78">
          <cell r="E78">
            <v>9597.2309999999998</v>
          </cell>
        </row>
        <row r="83">
          <cell r="E83">
            <v>5450</v>
          </cell>
        </row>
        <row r="86">
          <cell r="E86">
            <v>15196.5</v>
          </cell>
        </row>
      </sheetData>
      <sheetData sheetId="8">
        <row r="19">
          <cell r="E19">
            <v>91.321908440356268</v>
          </cell>
        </row>
        <row r="21">
          <cell r="E21">
            <v>1.0922912325560177</v>
          </cell>
        </row>
      </sheetData>
      <sheetData sheetId="9">
        <row r="13">
          <cell r="E13">
            <v>16.872726896054868</v>
          </cell>
        </row>
        <row r="33">
          <cell r="E33">
            <v>28221</v>
          </cell>
        </row>
      </sheetData>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4END2016"/>
    </sheetNames>
    <sheetDataSet>
      <sheetData sheetId="0"/>
      <sheetData sheetId="1"/>
      <sheetData sheetId="2"/>
      <sheetData sheetId="3"/>
      <sheetData sheetId="4">
        <row r="25">
          <cell r="C25">
            <v>844067304.25054979</v>
          </cell>
        </row>
      </sheetData>
      <sheetData sheetId="5">
        <row r="68">
          <cell r="C68">
            <v>311821073.76744103</v>
          </cell>
        </row>
      </sheetData>
      <sheetData sheetId="6"/>
      <sheetData sheetId="7">
        <row r="13">
          <cell r="C13">
            <v>5912221776.1879673</v>
          </cell>
        </row>
        <row r="15">
          <cell r="C15">
            <v>-219606575.57942763</v>
          </cell>
        </row>
        <row r="16">
          <cell r="C16">
            <v>260298834.10173142</v>
          </cell>
        </row>
        <row r="18">
          <cell r="C18">
            <v>6007188146.1352139</v>
          </cell>
        </row>
        <row r="61">
          <cell r="C61">
            <v>2313589262.8906441</v>
          </cell>
        </row>
        <row r="63">
          <cell r="C63">
            <v>-74954520.466943726</v>
          </cell>
        </row>
        <row r="66">
          <cell r="C66">
            <v>2357600974.9690175</v>
          </cell>
        </row>
      </sheetData>
      <sheetData sheetId="8">
        <row r="12">
          <cell r="D12">
            <v>16645.296944436956</v>
          </cell>
        </row>
        <row r="58">
          <cell r="D58">
            <v>968354.5</v>
          </cell>
        </row>
        <row r="94">
          <cell r="D94">
            <v>4096.7470725323228</v>
          </cell>
        </row>
      </sheetData>
      <sheetData sheetId="9">
        <row r="13">
          <cell r="C13">
            <v>8814.9150000000009</v>
          </cell>
        </row>
        <row r="27">
          <cell r="C27">
            <v>23294.759000000002</v>
          </cell>
        </row>
        <row r="41">
          <cell r="C41">
            <v>13173.102000000001</v>
          </cell>
        </row>
        <row r="79">
          <cell r="C79">
            <v>9970.3559999999998</v>
          </cell>
        </row>
        <row r="83">
          <cell r="C83">
            <v>5420</v>
          </cell>
        </row>
        <row r="86">
          <cell r="C86">
            <v>15206.5</v>
          </cell>
        </row>
      </sheetData>
      <sheetData sheetId="10">
        <row r="17">
          <cell r="D17">
            <v>86.711122512133926</v>
          </cell>
        </row>
        <row r="19">
          <cell r="D19">
            <v>0.87428641812436947</v>
          </cell>
        </row>
      </sheetData>
      <sheetData sheetId="11">
        <row r="10">
          <cell r="D10">
            <v>34.1608782618205</v>
          </cell>
        </row>
        <row r="35">
          <cell r="D35">
            <v>28346.85</v>
          </cell>
        </row>
      </sheetData>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9">
          <cell r="D29">
            <v>632714.93706999999</v>
          </cell>
        </row>
      </sheetData>
      <sheetData sheetId="3">
        <row r="58">
          <cell r="D58">
            <v>189286.78651596923</v>
          </cell>
          <cell r="E58">
            <v>229999.82498122202</v>
          </cell>
          <cell r="F58">
            <v>249220.28103108739</v>
          </cell>
          <cell r="G58">
            <v>269392.65437999991</v>
          </cell>
          <cell r="H58">
            <v>278759.46134999994</v>
          </cell>
          <cell r="I58">
            <v>337027.73702</v>
          </cell>
          <cell r="J58">
            <v>424858.66492000007</v>
          </cell>
          <cell r="K58">
            <v>554977.9989499998</v>
          </cell>
        </row>
      </sheetData>
      <sheetData sheetId="4">
        <row r="8">
          <cell r="D8">
            <v>3602153.1389212674</v>
          </cell>
          <cell r="E8">
            <v>4077824.543622674</v>
          </cell>
          <cell r="F8">
            <v>4478653.8022167431</v>
          </cell>
          <cell r="G8">
            <v>4881562.091726996</v>
          </cell>
          <cell r="H8">
            <v>5369487.5426334003</v>
          </cell>
          <cell r="I8">
            <v>6151983.9738174444</v>
          </cell>
          <cell r="J8">
            <v>6789381.7689463487</v>
          </cell>
          <cell r="K8">
            <v>7346771.6551985685</v>
          </cell>
        </row>
        <row r="10">
          <cell r="D10">
            <v>-189543.66119932596</v>
          </cell>
          <cell r="E10">
            <v>-218173.33685974433</v>
          </cell>
          <cell r="F10">
            <v>-235433.58949920139</v>
          </cell>
          <cell r="G10">
            <v>-237981.33470929967</v>
          </cell>
          <cell r="H10">
            <v>-256163.5928741415</v>
          </cell>
          <cell r="I10">
            <v>-285010.67428890982</v>
          </cell>
          <cell r="J10">
            <v>-297614.30968967418</v>
          </cell>
          <cell r="K10">
            <v>-315582.87719955336</v>
          </cell>
        </row>
        <row r="12">
          <cell r="D12">
            <v>569144.26643979771</v>
          </cell>
          <cell r="E12">
            <v>532370.28730071255</v>
          </cell>
          <cell r="F12">
            <v>470609.55219715962</v>
          </cell>
          <cell r="G12">
            <v>632189.95788572717</v>
          </cell>
          <cell r="H12">
            <v>910975.07691779232</v>
          </cell>
          <cell r="I12">
            <v>745416.69694824854</v>
          </cell>
          <cell r="J12">
            <v>757590.59823429817</v>
          </cell>
          <cell r="K12">
            <v>775122.35744989489</v>
          </cell>
        </row>
        <row r="14">
          <cell r="D14">
            <v>4077824.543622674</v>
          </cell>
          <cell r="E14">
            <v>4478653.8022167431</v>
          </cell>
          <cell r="F14">
            <v>4881562.091726996</v>
          </cell>
          <cell r="G14">
            <v>5369487.5426334003</v>
          </cell>
          <cell r="H14">
            <v>6151983.9738174444</v>
          </cell>
          <cell r="I14">
            <v>6789381.7689463487</v>
          </cell>
          <cell r="J14">
            <v>7346771.6551985685</v>
          </cell>
          <cell r="K14">
            <v>7963793.207945127</v>
          </cell>
        </row>
        <row r="58">
          <cell r="D58">
            <v>993070.69557390769</v>
          </cell>
          <cell r="E58">
            <v>1136103.1104070842</v>
          </cell>
          <cell r="F58">
            <v>1270940.8391317197</v>
          </cell>
          <cell r="G58">
            <v>1428922.9337999008</v>
          </cell>
          <cell r="H58">
            <v>1625348.3117720298</v>
          </cell>
          <cell r="I58">
            <v>1905550.8093927945</v>
          </cell>
          <cell r="J58">
            <v>2134361.6166058145</v>
          </cell>
          <cell r="K58">
            <v>2336185.225425452</v>
          </cell>
        </row>
        <row r="60">
          <cell r="D60">
            <v>-34688.041929069339</v>
          </cell>
          <cell r="E60">
            <v>-38924.931897317576</v>
          </cell>
          <cell r="F60">
            <v>-42642.721052440647</v>
          </cell>
          <cell r="G60">
            <v>-47123.266383670729</v>
          </cell>
          <cell r="H60">
            <v>-52082.600588811794</v>
          </cell>
          <cell r="I60">
            <v>-57832.637181117178</v>
          </cell>
          <cell r="J60">
            <v>-63951.238489684234</v>
          </cell>
          <cell r="K60">
            <v>-69194.885304465075</v>
          </cell>
        </row>
        <row r="62">
          <cell r="D62">
            <v>148742.95554750488</v>
          </cell>
          <cell r="E62">
            <v>146953.45324439832</v>
          </cell>
          <cell r="F62">
            <v>148015.10291700094</v>
          </cell>
          <cell r="G62">
            <v>210145.04540925846</v>
          </cell>
          <cell r="H62">
            <v>290168.07696310466</v>
          </cell>
          <cell r="I62">
            <v>230906.02437936713</v>
          </cell>
          <cell r="J62">
            <v>232129.69317845962</v>
          </cell>
          <cell r="K62">
            <v>194383.34269530061</v>
          </cell>
        </row>
        <row r="64">
          <cell r="D64">
            <v>1136103.1104070842</v>
          </cell>
          <cell r="E64">
            <v>1270940.8391317197</v>
          </cell>
          <cell r="F64">
            <v>1428922.9337999008</v>
          </cell>
          <cell r="G64">
            <v>1625348.3117720298</v>
          </cell>
          <cell r="H64">
            <v>1905550.8093927945</v>
          </cell>
          <cell r="I64">
            <v>2134361.6166058145</v>
          </cell>
          <cell r="J64">
            <v>2336185.225425452</v>
          </cell>
          <cell r="K64">
            <v>2515973.6688440088</v>
          </cell>
        </row>
      </sheetData>
      <sheetData sheetId="5">
        <row r="6">
          <cell r="D6">
            <v>20618</v>
          </cell>
          <cell r="E6">
            <v>20707</v>
          </cell>
          <cell r="F6">
            <v>21155</v>
          </cell>
          <cell r="G6">
            <v>21994</v>
          </cell>
          <cell r="H6">
            <v>22193</v>
          </cell>
          <cell r="I6">
            <v>21454</v>
          </cell>
          <cell r="J6">
            <v>21210</v>
          </cell>
          <cell r="K6">
            <v>21055</v>
          </cell>
        </row>
        <row r="47">
          <cell r="D47">
            <v>1212063.5623809525</v>
          </cell>
          <cell r="E47">
            <v>1236100.9766666668</v>
          </cell>
          <cell r="F47">
            <v>1263762.9433333334</v>
          </cell>
          <cell r="G47">
            <v>1287435.6833333333</v>
          </cell>
          <cell r="H47">
            <v>1307554.3333333333</v>
          </cell>
          <cell r="I47">
            <v>1326563.5</v>
          </cell>
          <cell r="J47">
            <v>1343864.5</v>
          </cell>
          <cell r="K47">
            <v>1359711.5</v>
          </cell>
        </row>
        <row r="71">
          <cell r="D71">
            <v>4225.3853993415833</v>
          </cell>
          <cell r="E71">
            <v>4618</v>
          </cell>
          <cell r="F71">
            <v>4796.7614080429075</v>
          </cell>
          <cell r="G71">
            <v>5027.5095144271854</v>
          </cell>
          <cell r="H71">
            <v>5297.7098321914673</v>
          </cell>
          <cell r="I71">
            <v>5048.767879486084</v>
          </cell>
          <cell r="J71">
            <v>4633.7388401031494</v>
          </cell>
          <cell r="K71">
            <v>4685.886848449707</v>
          </cell>
        </row>
      </sheetData>
      <sheetData sheetId="6">
        <row r="9">
          <cell r="D9">
            <v>14356</v>
          </cell>
        </row>
        <row r="16">
          <cell r="D16">
            <v>34457</v>
          </cell>
          <cell r="E16">
            <v>34623</v>
          </cell>
          <cell r="F16">
            <v>34659</v>
          </cell>
          <cell r="G16">
            <v>34731</v>
          </cell>
          <cell r="H16">
            <v>34780</v>
          </cell>
          <cell r="I16">
            <v>34900</v>
          </cell>
          <cell r="J16">
            <v>34992</v>
          </cell>
          <cell r="K16">
            <v>35033</v>
          </cell>
        </row>
        <row r="25">
          <cell r="D25">
            <v>12201</v>
          </cell>
          <cell r="E25">
            <v>13022</v>
          </cell>
          <cell r="F25">
            <v>13827</v>
          </cell>
          <cell r="G25">
            <v>14696</v>
          </cell>
          <cell r="H25">
            <v>15337</v>
          </cell>
          <cell r="I25">
            <v>15871</v>
          </cell>
          <cell r="J25">
            <v>16350</v>
          </cell>
          <cell r="K25">
            <v>16748</v>
          </cell>
        </row>
        <row r="47">
          <cell r="D47">
            <v>9564</v>
          </cell>
          <cell r="E47">
            <v>10375</v>
          </cell>
          <cell r="F47">
            <v>11157</v>
          </cell>
          <cell r="G47">
            <v>12011</v>
          </cell>
          <cell r="H47">
            <v>12591</v>
          </cell>
          <cell r="I47">
            <v>13018</v>
          </cell>
          <cell r="J47">
            <v>13451.5</v>
          </cell>
          <cell r="K47">
            <v>13708.4</v>
          </cell>
        </row>
        <row r="52">
          <cell r="D52">
            <v>6316.4999694824219</v>
          </cell>
          <cell r="E52">
            <v>6992.2999572753906</v>
          </cell>
          <cell r="F52">
            <v>7193.9999542236328</v>
          </cell>
          <cell r="G52">
            <v>7193.9999542236328</v>
          </cell>
          <cell r="H52">
            <v>7291.9999542236328</v>
          </cell>
          <cell r="I52">
            <v>7619.5999603271484</v>
          </cell>
          <cell r="J52">
            <v>7792.9999542236328</v>
          </cell>
          <cell r="K52">
            <v>7792.9999542236301</v>
          </cell>
        </row>
        <row r="55">
          <cell r="D55">
            <v>16240.399970412254</v>
          </cell>
          <cell r="E55">
            <v>17553.99996316433</v>
          </cell>
          <cell r="F55">
            <v>17870.799960494041</v>
          </cell>
          <cell r="G55">
            <v>18129.39996278286</v>
          </cell>
          <cell r="H55">
            <v>18410.79996240139</v>
          </cell>
          <cell r="I55">
            <v>19028.099969267845</v>
          </cell>
          <cell r="J55">
            <v>19362.19996087551</v>
          </cell>
          <cell r="K55">
            <v>19642.899960875508</v>
          </cell>
        </row>
      </sheetData>
      <sheetData sheetId="7">
        <row r="13">
          <cell r="D13">
            <v>128.22244078912925</v>
          </cell>
          <cell r="E13">
            <v>88.220873930035282</v>
          </cell>
          <cell r="F13">
            <v>100.34512508466591</v>
          </cell>
          <cell r="G13">
            <v>90.789053875531593</v>
          </cell>
          <cell r="H13">
            <v>87.675284727806371</v>
          </cell>
          <cell r="I13">
            <v>78.77865093964239</v>
          </cell>
          <cell r="J13">
            <v>64.171918977412147</v>
          </cell>
          <cell r="K13">
            <v>67.30305820281967</v>
          </cell>
        </row>
        <row r="15">
          <cell r="D15">
            <v>1.716266337308054</v>
          </cell>
          <cell r="E15">
            <v>1.2549291133505334</v>
          </cell>
          <cell r="F15">
            <v>1.3765181505089055</v>
          </cell>
          <cell r="G15">
            <v>1.2971883730919729</v>
          </cell>
          <cell r="H15">
            <v>1.3827279444217415</v>
          </cell>
          <cell r="I15">
            <v>1.1003184196552347</v>
          </cell>
          <cell r="J15">
            <v>0.84748513441479567</v>
          </cell>
          <cell r="K15">
            <v>0.88238290580541878</v>
          </cell>
        </row>
      </sheetData>
      <sheetData sheetId="8">
        <row r="6">
          <cell r="D6">
            <v>32.011820573672253</v>
          </cell>
        </row>
        <row r="27">
          <cell r="D27">
            <v>37863</v>
          </cell>
          <cell r="E27">
            <v>38739</v>
          </cell>
          <cell r="F27">
            <v>39599</v>
          </cell>
          <cell r="G27">
            <v>40484</v>
          </cell>
          <cell r="H27">
            <v>41131</v>
          </cell>
          <cell r="I27">
            <v>41689</v>
          </cell>
          <cell r="J27">
            <v>42178</v>
          </cell>
          <cell r="K27">
            <v>42587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
      <sheetName val="WACC"/>
      <sheetName val="DNSP stacked data"/>
      <sheetName val="01ACT BB"/>
      <sheetName val="02AGD BB"/>
      <sheetName val="03CIT BB"/>
      <sheetName val="04END BB"/>
      <sheetName val="05ENX BB"/>
      <sheetName val="06ERG BB"/>
      <sheetName val="07ESS BB"/>
      <sheetName val="08JEN BB"/>
      <sheetName val="09PCR BB"/>
      <sheetName val="10SAP BB"/>
      <sheetName val="11SPD BB"/>
      <sheetName val="12TND BB"/>
      <sheetName val="13UED BB"/>
      <sheetName val="Sheet1"/>
    </sheetNames>
    <sheetDataSet>
      <sheetData sheetId="0">
        <row r="6">
          <cell r="B6">
            <v>10545.326925516567</v>
          </cell>
        </row>
      </sheetData>
      <sheetData sheetId="1">
        <row r="22">
          <cell r="J22">
            <v>5.3905874252040943E-2</v>
          </cell>
          <cell r="K22">
            <v>4.1839400868173462E-2</v>
          </cell>
          <cell r="L22">
            <v>4.3699425217022414E-2</v>
          </cell>
          <cell r="M22">
            <v>3.272949331222863E-2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1608331.7000000002</v>
          </cell>
        </row>
      </sheetData>
      <sheetData sheetId="3">
        <row r="201">
          <cell r="E201">
            <v>593489.55767000001</v>
          </cell>
        </row>
        <row r="210">
          <cell r="E210">
            <v>593489.55767000001</v>
          </cell>
        </row>
      </sheetData>
      <sheetData sheetId="4"/>
      <sheetData sheetId="5">
        <row r="13">
          <cell r="E13">
            <v>7988755.4365374753</v>
          </cell>
        </row>
        <row r="15">
          <cell r="E15">
            <v>-337044.009323181</v>
          </cell>
        </row>
        <row r="17">
          <cell r="E17">
            <v>651391.32890145783</v>
          </cell>
        </row>
        <row r="19">
          <cell r="E19">
            <v>8514513.091986673</v>
          </cell>
        </row>
        <row r="63">
          <cell r="E63">
            <v>2536927.4499184927</v>
          </cell>
        </row>
        <row r="65">
          <cell r="E65">
            <v>-74460.760342543334</v>
          </cell>
        </row>
        <row r="67">
          <cell r="E67">
            <v>212809.01233654172</v>
          </cell>
        </row>
        <row r="69">
          <cell r="E69">
            <v>2743923.6833503172</v>
          </cell>
        </row>
      </sheetData>
      <sheetData sheetId="6">
        <row r="12">
          <cell r="E12">
            <v>20838.067203162998</v>
          </cell>
        </row>
        <row r="54">
          <cell r="E54">
            <v>1376483</v>
          </cell>
        </row>
        <row r="86">
          <cell r="E86">
            <v>4518.2367792129517</v>
          </cell>
        </row>
      </sheetData>
      <sheetData sheetId="7">
        <row r="14">
          <cell r="E14">
            <v>14240.608</v>
          </cell>
        </row>
        <row r="28">
          <cell r="E28">
            <v>35102.33</v>
          </cell>
        </row>
        <row r="43">
          <cell r="E43">
            <v>16994.710999999996</v>
          </cell>
        </row>
        <row r="78">
          <cell r="E78">
            <v>13939.081</v>
          </cell>
        </row>
        <row r="83">
          <cell r="E83">
            <v>8041.9</v>
          </cell>
        </row>
        <row r="86">
          <cell r="E86">
            <v>20119.199999999997</v>
          </cell>
        </row>
      </sheetData>
      <sheetData sheetId="8">
        <row r="19">
          <cell r="E19">
            <v>70.043999999999997</v>
          </cell>
        </row>
        <row r="21">
          <cell r="E21">
            <v>0.89290000000000003</v>
          </cell>
        </row>
      </sheetData>
      <sheetData sheetId="9">
        <row r="12">
          <cell r="E12">
            <v>32.130000000000003</v>
          </cell>
        </row>
        <row r="33">
          <cell r="E33">
            <v>42833</v>
          </cell>
        </row>
      </sheetData>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1906174399.6999998</v>
          </cell>
        </row>
      </sheetData>
      <sheetData sheetId="3">
        <row r="201">
          <cell r="E201">
            <v>585227546.12999976</v>
          </cell>
        </row>
      </sheetData>
      <sheetData sheetId="4"/>
      <sheetData sheetId="5">
        <row r="13">
          <cell r="E13">
            <v>8800381631.4253254</v>
          </cell>
        </row>
        <row r="15">
          <cell r="E15">
            <v>-311045112.82545865</v>
          </cell>
        </row>
        <row r="17">
          <cell r="E17">
            <v>551693995.17821014</v>
          </cell>
        </row>
        <row r="19">
          <cell r="E19">
            <v>9133782235.9454937</v>
          </cell>
        </row>
        <row r="63">
          <cell r="E63">
            <v>2756223770.8738408</v>
          </cell>
        </row>
        <row r="65">
          <cell r="E65">
            <v>-70160827.472643301</v>
          </cell>
        </row>
        <row r="67">
          <cell r="E67">
            <v>15001303.374446496</v>
          </cell>
        </row>
        <row r="69">
          <cell r="E69">
            <v>2722599493.0272593</v>
          </cell>
        </row>
      </sheetData>
      <sheetData sheetId="6">
        <row r="12">
          <cell r="E12">
            <v>21154.47097101</v>
          </cell>
        </row>
        <row r="54">
          <cell r="E54">
            <v>1397191</v>
          </cell>
        </row>
        <row r="86">
          <cell r="E86">
            <v>4744.3609999999999</v>
          </cell>
        </row>
      </sheetData>
      <sheetData sheetId="7">
        <row r="14">
          <cell r="E14">
            <v>14226.28</v>
          </cell>
        </row>
        <row r="28">
          <cell r="E28">
            <v>35122.369999999995</v>
          </cell>
        </row>
        <row r="43">
          <cell r="E43">
            <v>17442.340000000004</v>
          </cell>
        </row>
        <row r="78">
          <cell r="E78">
            <v>14222.976000000001</v>
          </cell>
        </row>
        <row r="83">
          <cell r="E83">
            <v>8051.5</v>
          </cell>
        </row>
        <row r="86">
          <cell r="E86">
            <v>20980.400000000001</v>
          </cell>
        </row>
      </sheetData>
      <sheetData sheetId="8">
        <row r="19">
          <cell r="E19">
            <v>84.462000000000003</v>
          </cell>
        </row>
        <row r="21">
          <cell r="E21">
            <v>0.91400000000000003</v>
          </cell>
        </row>
      </sheetData>
      <sheetData sheetId="9">
        <row r="12">
          <cell r="E12">
            <v>32.42858725105468</v>
          </cell>
        </row>
        <row r="33">
          <cell r="E33">
            <v>43085.163999999997</v>
          </cell>
        </row>
      </sheetData>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5ENX2016"/>
    </sheetNames>
    <sheetDataSet>
      <sheetData sheetId="0"/>
      <sheetData sheetId="1"/>
      <sheetData sheetId="2"/>
      <sheetData sheetId="3"/>
      <sheetData sheetId="4">
        <row r="25">
          <cell r="C25">
            <v>1761864103.3099999</v>
          </cell>
        </row>
      </sheetData>
      <sheetData sheetId="5">
        <row r="68">
          <cell r="C68">
            <v>344893638.42298669</v>
          </cell>
        </row>
      </sheetData>
      <sheetData sheetId="6"/>
      <sheetData sheetId="7">
        <row r="13">
          <cell r="C13">
            <v>9071370337.0080395</v>
          </cell>
        </row>
        <row r="15">
          <cell r="C15">
            <v>-281757910.21613413</v>
          </cell>
        </row>
        <row r="16">
          <cell r="C16">
            <v>476890092.50353491</v>
          </cell>
        </row>
        <row r="18">
          <cell r="C18">
            <v>9406894022.1857738</v>
          </cell>
        </row>
        <row r="61">
          <cell r="C61">
            <v>2722544630.8249288</v>
          </cell>
        </row>
        <row r="63">
          <cell r="C63">
            <v>-67115663.666576251</v>
          </cell>
        </row>
        <row r="66">
          <cell r="C66">
            <v>2788837502.0824389</v>
          </cell>
        </row>
      </sheetData>
      <sheetData sheetId="8">
        <row r="12">
          <cell r="D12">
            <v>21138.128272040001</v>
          </cell>
        </row>
        <row r="58">
          <cell r="D58">
            <v>1421522</v>
          </cell>
        </row>
        <row r="94">
          <cell r="D94">
            <v>4807.4521409677127</v>
          </cell>
        </row>
      </sheetData>
      <sheetData sheetId="9">
        <row r="13">
          <cell r="C13">
            <v>14221.45</v>
          </cell>
        </row>
        <row r="27">
          <cell r="C27">
            <v>35129.320000000007</v>
          </cell>
        </row>
        <row r="41">
          <cell r="C41">
            <v>18072.560000000005</v>
          </cell>
        </row>
        <row r="79">
          <cell r="C79">
            <v>14498.584000000001</v>
          </cell>
        </row>
        <row r="83">
          <cell r="C83">
            <v>8196.6999969482422</v>
          </cell>
        </row>
        <row r="86">
          <cell r="C86">
            <v>21150.608001144406</v>
          </cell>
        </row>
      </sheetData>
      <sheetData sheetId="10">
        <row r="17">
          <cell r="D17">
            <v>74.052999999999997</v>
          </cell>
        </row>
        <row r="19">
          <cell r="D19">
            <v>0.86429999999999996</v>
          </cell>
        </row>
      </sheetData>
      <sheetData sheetId="11">
        <row r="10">
          <cell r="D10">
            <v>32.456000000000003</v>
          </cell>
        </row>
        <row r="35">
          <cell r="D35">
            <v>43798</v>
          </cell>
        </row>
      </sheetData>
      <sheetData sheetId="12"/>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720365.08428699267</v>
          </cell>
        </row>
      </sheetData>
      <sheetData sheetId="3">
        <row r="17">
          <cell r="D17">
            <v>0</v>
          </cell>
        </row>
        <row r="77">
          <cell r="D77">
            <v>259957.891</v>
          </cell>
          <cell r="E77">
            <v>241890.48055000001</v>
          </cell>
          <cell r="F77">
            <v>269457.2365</v>
          </cell>
          <cell r="G77">
            <v>270466.59798999992</v>
          </cell>
          <cell r="H77">
            <v>270621.21470000001</v>
          </cell>
          <cell r="I77">
            <v>350810.48082</v>
          </cell>
          <cell r="J77">
            <v>391914.0473700001</v>
          </cell>
          <cell r="K77">
            <v>374348.04830000014</v>
          </cell>
        </row>
      </sheetData>
      <sheetData sheetId="4">
        <row r="8">
          <cell r="D8">
            <v>3897829.1164012584</v>
          </cell>
          <cell r="E8">
            <v>4259911.9209882431</v>
          </cell>
          <cell r="F8">
            <v>4615563.0021533296</v>
          </cell>
          <cell r="G8">
            <v>5004496.0316457516</v>
          </cell>
          <cell r="H8">
            <v>5373530.9071100373</v>
          </cell>
          <cell r="I8">
            <v>5885420.5173638314</v>
          </cell>
          <cell r="J8">
            <v>6458315.1769359838</v>
          </cell>
          <cell r="K8">
            <v>6867307.4208540479</v>
          </cell>
        </row>
        <row r="10">
          <cell r="D10">
            <v>-216175.83071588291</v>
          </cell>
          <cell r="E10">
            <v>-235733.19778959459</v>
          </cell>
          <cell r="F10">
            <v>-239053.96951500914</v>
          </cell>
          <cell r="G10">
            <v>-258020.20865722859</v>
          </cell>
          <cell r="H10">
            <v>-274505.82125736942</v>
          </cell>
          <cell r="I10">
            <v>-273028.29378705501</v>
          </cell>
          <cell r="J10">
            <v>-304003.02126971731</v>
          </cell>
          <cell r="K10">
            <v>-310820.88102857594</v>
          </cell>
        </row>
        <row r="12">
          <cell r="D12">
            <v>486827.91974075389</v>
          </cell>
          <cell r="E12">
            <v>521327.00099305884</v>
          </cell>
          <cell r="F12">
            <v>541157.21715842525</v>
          </cell>
          <cell r="G12">
            <v>551389.28207127284</v>
          </cell>
          <cell r="H12">
            <v>657497.76262056769</v>
          </cell>
          <cell r="I12">
            <v>662116.01284347859</v>
          </cell>
          <cell r="J12">
            <v>695492.75665752811</v>
          </cell>
          <cell r="K12">
            <v>675168.69842029945</v>
          </cell>
        </row>
        <row r="14">
          <cell r="D14">
            <v>4259911.9209882431</v>
          </cell>
          <cell r="E14">
            <v>4615563.0021533296</v>
          </cell>
          <cell r="F14">
            <v>5004496.0316457516</v>
          </cell>
          <cell r="G14">
            <v>5373530.9071100373</v>
          </cell>
          <cell r="H14">
            <v>5873419.8543638317</v>
          </cell>
          <cell r="I14">
            <v>6458315.1769359838</v>
          </cell>
          <cell r="J14">
            <v>6867307.4208540479</v>
          </cell>
          <cell r="K14">
            <v>7395283.6409888724</v>
          </cell>
        </row>
        <row r="58">
          <cell r="D58">
            <v>614623.06814808806</v>
          </cell>
          <cell r="E58">
            <v>672953.50426660897</v>
          </cell>
          <cell r="F58">
            <v>765842.31864155387</v>
          </cell>
          <cell r="G58">
            <v>939529.82155838911</v>
          </cell>
          <cell r="H58">
            <v>1128803.4495075301</v>
          </cell>
          <cell r="I58">
            <v>1263277.6593897773</v>
          </cell>
          <cell r="J58">
            <v>1364308.34985027</v>
          </cell>
          <cell r="K58">
            <v>1422410.3870849286</v>
          </cell>
        </row>
        <row r="60">
          <cell r="D60">
            <v>-22146.099095084584</v>
          </cell>
          <cell r="E60">
            <v>-24117.911709681935</v>
          </cell>
          <cell r="F60">
            <v>-26790.781524534155</v>
          </cell>
          <cell r="G60">
            <v>-31660.255464834132</v>
          </cell>
          <cell r="H60">
            <v>-36739.588011213455</v>
          </cell>
          <cell r="I60">
            <v>-41904.999717362414</v>
          </cell>
          <cell r="J60">
            <v>-45468.503656468776</v>
          </cell>
          <cell r="K60">
            <v>-48106.452107839876</v>
          </cell>
        </row>
        <row r="62">
          <cell r="D62">
            <v>62884.434727333472</v>
          </cell>
          <cell r="E62">
            <v>100886.18352328635</v>
          </cell>
          <cell r="F62">
            <v>168389.4943956816</v>
          </cell>
          <cell r="G62">
            <v>198313.10830478623</v>
          </cell>
          <cell r="H62">
            <v>139216.75340342423</v>
          </cell>
          <cell r="I62">
            <v>100868.5441201754</v>
          </cell>
          <cell r="J62">
            <v>111000.41643730088</v>
          </cell>
          <cell r="K62">
            <v>96102.267318772385</v>
          </cell>
        </row>
        <row r="64">
          <cell r="D64">
            <v>672953.50426660897</v>
          </cell>
          <cell r="E64">
            <v>765842.31864155387</v>
          </cell>
          <cell r="F64">
            <v>939529.82155838911</v>
          </cell>
          <cell r="G64">
            <v>1128803.4495075301</v>
          </cell>
          <cell r="H64">
            <v>1263277.6593897773</v>
          </cell>
          <cell r="I64">
            <v>1364308.34985027</v>
          </cell>
          <cell r="J64">
            <v>1422410.3870849286</v>
          </cell>
          <cell r="K64">
            <v>1505966.4619729843</v>
          </cell>
        </row>
      </sheetData>
      <sheetData sheetId="5">
        <row r="6">
          <cell r="D6">
            <v>13486.171</v>
          </cell>
          <cell r="E6">
            <v>13576.44</v>
          </cell>
          <cell r="F6">
            <v>13813.451000000001</v>
          </cell>
          <cell r="G6">
            <v>14130.074000000002</v>
          </cell>
          <cell r="H6">
            <v>14256.528</v>
          </cell>
          <cell r="I6">
            <v>13227.153</v>
          </cell>
          <cell r="J6">
            <v>13691.726000000001</v>
          </cell>
          <cell r="K6">
            <v>13495.528</v>
          </cell>
        </row>
        <row r="47">
          <cell r="D47">
            <v>624130</v>
          </cell>
          <cell r="E47">
            <v>635123</v>
          </cell>
          <cell r="F47">
            <v>647729</v>
          </cell>
          <cell r="G47">
            <v>663216</v>
          </cell>
          <cell r="H47">
            <v>676960</v>
          </cell>
          <cell r="I47">
            <v>688959</v>
          </cell>
          <cell r="J47">
            <v>699264</v>
          </cell>
          <cell r="K47">
            <v>710431</v>
          </cell>
        </row>
        <row r="66">
          <cell r="D66">
            <v>2804.212</v>
          </cell>
          <cell r="E66">
            <v>2851.5990000000002</v>
          </cell>
          <cell r="F66">
            <v>3078.596</v>
          </cell>
          <cell r="G66">
            <v>3040.864</v>
          </cell>
          <cell r="H66">
            <v>3238.0459999999998</v>
          </cell>
          <cell r="I66">
            <v>3057.3649999999998</v>
          </cell>
          <cell r="J66">
            <v>3212.5889999999999</v>
          </cell>
          <cell r="K66">
            <v>3149.4879999999998</v>
          </cell>
        </row>
      </sheetData>
      <sheetData sheetId="6">
        <row r="9">
          <cell r="D9">
            <v>16298.8789392</v>
          </cell>
        </row>
        <row r="19">
          <cell r="D19">
            <v>144395.92893726</v>
          </cell>
          <cell r="E19">
            <v>145654.05244104</v>
          </cell>
          <cell r="F19">
            <v>145367.16225174002</v>
          </cell>
          <cell r="G19">
            <v>145424.03933772002</v>
          </cell>
          <cell r="H19">
            <v>145684.85145786</v>
          </cell>
          <cell r="I19">
            <v>145390.19746680002</v>
          </cell>
          <cell r="J19">
            <v>146022.96540545998</v>
          </cell>
          <cell r="K19">
            <v>142293.05232780747</v>
          </cell>
        </row>
        <row r="30">
          <cell r="D30">
            <v>3957.51</v>
          </cell>
          <cell r="E30">
            <v>4482.4459999999999</v>
          </cell>
          <cell r="F30">
            <v>5292.8770000000004</v>
          </cell>
          <cell r="G30">
            <v>6346.0159999999996</v>
          </cell>
          <cell r="H30">
            <v>6894.8040000000001</v>
          </cell>
          <cell r="I30">
            <v>7339.335</v>
          </cell>
          <cell r="J30">
            <v>7724.8860000000004</v>
          </cell>
          <cell r="K30">
            <v>8179.3249999999998</v>
          </cell>
        </row>
        <row r="57">
          <cell r="D57">
            <v>6380.24</v>
          </cell>
          <cell r="E57">
            <v>6540.28</v>
          </cell>
          <cell r="F57">
            <v>6700.32</v>
          </cell>
          <cell r="G57">
            <v>6860.36</v>
          </cell>
          <cell r="H57">
            <v>7020.4</v>
          </cell>
          <cell r="I57">
            <v>7180.44</v>
          </cell>
          <cell r="J57">
            <v>7340.48</v>
          </cell>
          <cell r="K57">
            <v>7500.52</v>
          </cell>
        </row>
        <row r="62">
          <cell r="D62">
            <v>2622.58</v>
          </cell>
          <cell r="E62">
            <v>2732.26</v>
          </cell>
          <cell r="F62">
            <v>2714.4</v>
          </cell>
          <cell r="G62">
            <v>2680.4</v>
          </cell>
          <cell r="H62">
            <v>2744.4</v>
          </cell>
          <cell r="I62">
            <v>2881.4</v>
          </cell>
          <cell r="J62">
            <v>3105.4</v>
          </cell>
          <cell r="K62">
            <v>3330.15</v>
          </cell>
        </row>
        <row r="65">
          <cell r="D65">
            <v>7093.9629999999997</v>
          </cell>
          <cell r="E65">
            <v>7344.6229999999996</v>
          </cell>
          <cell r="F65">
            <v>7294.5709999999999</v>
          </cell>
          <cell r="G65">
            <v>7270.3310000000001</v>
          </cell>
          <cell r="H65">
            <v>7887.1210000000001</v>
          </cell>
          <cell r="I65">
            <v>8183.0309999999999</v>
          </cell>
          <cell r="J65">
            <v>8673.9310000000005</v>
          </cell>
          <cell r="K65">
            <v>9052.6129999999994</v>
          </cell>
        </row>
      </sheetData>
      <sheetData sheetId="7">
        <row r="13">
          <cell r="D13">
            <v>380.488</v>
          </cell>
          <cell r="E13">
            <v>264.065</v>
          </cell>
          <cell r="F13">
            <v>316.66800000000001</v>
          </cell>
          <cell r="G13">
            <v>352.06400000000002</v>
          </cell>
          <cell r="H13">
            <v>352.245</v>
          </cell>
          <cell r="I13">
            <v>324.96300000000002</v>
          </cell>
          <cell r="J13">
            <v>295.80200000000002</v>
          </cell>
          <cell r="K13">
            <v>264.10500000000002</v>
          </cell>
        </row>
        <row r="15">
          <cell r="D15">
            <v>3.9460000000000002</v>
          </cell>
          <cell r="E15">
            <v>2.7490000000000001</v>
          </cell>
          <cell r="F15">
            <v>2.9390000000000001</v>
          </cell>
          <cell r="G15">
            <v>3.423</v>
          </cell>
          <cell r="H15">
            <v>3.2730000000000001</v>
          </cell>
          <cell r="I15">
            <v>2.831</v>
          </cell>
          <cell r="J15">
            <v>2.71</v>
          </cell>
          <cell r="K15">
            <v>2.4220000000000002</v>
          </cell>
        </row>
      </sheetData>
      <sheetData sheetId="8">
        <row r="6">
          <cell r="D6">
            <v>4.54</v>
          </cell>
        </row>
        <row r="27">
          <cell r="D27">
            <v>137464.93799999999</v>
          </cell>
          <cell r="E27">
            <v>139118.03700000001</v>
          </cell>
          <cell r="F27">
            <v>139627.552</v>
          </cell>
          <cell r="G27">
            <v>140872.02799999999</v>
          </cell>
          <cell r="H27">
            <v>141675.837</v>
          </cell>
          <cell r="I27">
            <v>141326.28099999999</v>
          </cell>
          <cell r="J27">
            <v>142404.592</v>
          </cell>
          <cell r="K27">
            <v>141446.783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1598898.2505699997</v>
          </cell>
        </row>
      </sheetData>
      <sheetData sheetId="3">
        <row r="163">
          <cell r="E163">
            <v>120083</v>
          </cell>
        </row>
        <row r="201">
          <cell r="E201">
            <v>428129.36037000001</v>
          </cell>
        </row>
      </sheetData>
      <sheetData sheetId="4"/>
      <sheetData sheetId="5">
        <row r="13">
          <cell r="E13">
            <v>7395283.6409888724</v>
          </cell>
        </row>
        <row r="15">
          <cell r="E15">
            <v>-327118.75480831484</v>
          </cell>
        </row>
        <row r="17">
          <cell r="E17">
            <v>613523.02217440377</v>
          </cell>
        </row>
        <row r="19">
          <cell r="E19">
            <v>7888157.4457705906</v>
          </cell>
        </row>
        <row r="63">
          <cell r="E63">
            <v>1505966.4619729843</v>
          </cell>
        </row>
        <row r="65">
          <cell r="E65">
            <v>-51346.506329027448</v>
          </cell>
        </row>
        <row r="67">
          <cell r="E67">
            <v>135281.38837406263</v>
          </cell>
        </row>
        <row r="69">
          <cell r="E69">
            <v>1634026.1613538279</v>
          </cell>
        </row>
      </sheetData>
      <sheetData sheetId="6">
        <row r="12">
          <cell r="E12">
            <v>13716.244895035559</v>
          </cell>
        </row>
        <row r="54">
          <cell r="E54">
            <v>721930</v>
          </cell>
        </row>
        <row r="86">
          <cell r="E86">
            <v>3083.3670000000006</v>
          </cell>
        </row>
      </sheetData>
      <sheetData sheetId="7">
        <row r="14">
          <cell r="E14">
            <v>16269.9878992256</v>
          </cell>
        </row>
        <row r="28">
          <cell r="E28">
            <v>142618.25783042065</v>
          </cell>
        </row>
        <row r="43">
          <cell r="E43">
            <v>8503.553004398982</v>
          </cell>
        </row>
        <row r="78">
          <cell r="E78">
            <v>8213</v>
          </cell>
        </row>
        <row r="83">
          <cell r="E83">
            <v>3266.15</v>
          </cell>
        </row>
        <row r="86">
          <cell r="E86">
            <v>9442.125</v>
          </cell>
        </row>
      </sheetData>
      <sheetData sheetId="8">
        <row r="19">
          <cell r="E19">
            <v>228.05540000000002</v>
          </cell>
        </row>
        <row r="21">
          <cell r="E21">
            <v>2.3170000000000002</v>
          </cell>
        </row>
      </sheetData>
      <sheetData sheetId="9">
        <row r="12">
          <cell r="E12">
            <v>5.0895875233456795</v>
          </cell>
        </row>
        <row r="33">
          <cell r="E33">
            <v>141844.50049999999</v>
          </cell>
        </row>
      </sheetData>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1822414512.924</v>
          </cell>
        </row>
      </sheetData>
      <sheetData sheetId="3">
        <row r="163">
          <cell r="E163">
            <v>115340000</v>
          </cell>
        </row>
        <row r="201">
          <cell r="E201">
            <v>478170157.73000002</v>
          </cell>
        </row>
      </sheetData>
      <sheetData sheetId="4"/>
      <sheetData sheetId="5">
        <row r="13">
          <cell r="E13">
            <v>7900358244.8002653</v>
          </cell>
        </row>
        <row r="15">
          <cell r="E15">
            <v>-319517940.98491049</v>
          </cell>
        </row>
        <row r="17">
          <cell r="E17">
            <v>560997263.9858129</v>
          </cell>
        </row>
        <row r="19">
          <cell r="E19">
            <v>8312272977.9321127</v>
          </cell>
        </row>
        <row r="63">
          <cell r="E63">
            <v>1635461283.631515</v>
          </cell>
        </row>
        <row r="65">
          <cell r="E65">
            <v>-55311609.595055245</v>
          </cell>
        </row>
        <row r="67">
          <cell r="E67">
            <v>177187266.85070586</v>
          </cell>
        </row>
        <row r="69">
          <cell r="E69">
            <v>1794134819.7688746</v>
          </cell>
        </row>
      </sheetData>
      <sheetData sheetId="6">
        <row r="12">
          <cell r="E12">
            <v>13656.127585073029</v>
          </cell>
        </row>
        <row r="54">
          <cell r="E54">
            <v>728290.5</v>
          </cell>
        </row>
        <row r="86">
          <cell r="E86">
            <v>3113.0050005912781</v>
          </cell>
        </row>
      </sheetData>
      <sheetData sheetId="7">
        <row r="14">
          <cell r="E14">
            <v>16978.002052498399</v>
          </cell>
        </row>
        <row r="28">
          <cell r="E28">
            <v>143546.25526403662</v>
          </cell>
        </row>
        <row r="43">
          <cell r="E43">
            <v>8913.2449121281679</v>
          </cell>
        </row>
        <row r="78">
          <cell r="E78">
            <v>8344.1679999999997</v>
          </cell>
        </row>
        <row r="83">
          <cell r="E83">
            <v>3329.15</v>
          </cell>
        </row>
        <row r="86">
          <cell r="E86">
            <v>9407.0930000000008</v>
          </cell>
        </row>
      </sheetData>
      <sheetData sheetId="8">
        <row r="19">
          <cell r="E19">
            <v>281.05220000000003</v>
          </cell>
        </row>
        <row r="21">
          <cell r="E21">
            <v>2.5192000000000001</v>
          </cell>
        </row>
      </sheetData>
      <sheetData sheetId="9">
        <row r="12">
          <cell r="E12">
            <v>5.202</v>
          </cell>
        </row>
        <row r="33">
          <cell r="E33">
            <v>140013.02800000002</v>
          </cell>
        </row>
      </sheetData>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6ERG2016"/>
    </sheetNames>
    <sheetDataSet>
      <sheetData sheetId="0"/>
      <sheetData sheetId="1"/>
      <sheetData sheetId="2"/>
      <sheetData sheetId="3"/>
      <sheetData sheetId="4">
        <row r="25">
          <cell r="C25">
            <v>1475878094.6500001</v>
          </cell>
        </row>
      </sheetData>
      <sheetData sheetId="5">
        <row r="26">
          <cell r="C26">
            <v>109044843</v>
          </cell>
        </row>
        <row r="68">
          <cell r="C68">
            <v>499608402</v>
          </cell>
        </row>
      </sheetData>
      <sheetData sheetId="6"/>
      <sheetData sheetId="7">
        <row r="13">
          <cell r="C13">
            <v>8047421231.2561598</v>
          </cell>
        </row>
        <row r="15">
          <cell r="C15">
            <v>-325609533.63866973</v>
          </cell>
        </row>
        <row r="16">
          <cell r="C16">
            <v>513700190.01148784</v>
          </cell>
        </row>
        <row r="18">
          <cell r="C18">
            <v>8370664729.6834564</v>
          </cell>
        </row>
        <row r="61">
          <cell r="C61">
            <v>1667555477.4875536</v>
          </cell>
        </row>
        <row r="63">
          <cell r="C63">
            <v>-56904794.7958306</v>
          </cell>
        </row>
        <row r="66">
          <cell r="C66">
            <v>1706389860.4150796</v>
          </cell>
        </row>
      </sheetData>
      <sheetData sheetId="8">
        <row r="12">
          <cell r="D12">
            <v>13747.38534785644</v>
          </cell>
        </row>
        <row r="58">
          <cell r="D58">
            <v>739353.5</v>
          </cell>
        </row>
        <row r="94">
          <cell r="D94">
            <v>3060.0929908752441</v>
          </cell>
        </row>
      </sheetData>
      <sheetData sheetId="9">
        <row r="13">
          <cell r="C13">
            <v>16675.808175334099</v>
          </cell>
        </row>
        <row r="27">
          <cell r="C27">
            <v>143113.90362381283</v>
          </cell>
        </row>
        <row r="41">
          <cell r="C41">
            <v>9140.7352653397484</v>
          </cell>
        </row>
        <row r="79">
          <cell r="C79">
            <v>8700.5540000000001</v>
          </cell>
        </row>
        <row r="83">
          <cell r="C83">
            <v>3346.75</v>
          </cell>
        </row>
        <row r="86">
          <cell r="C86">
            <v>9729</v>
          </cell>
        </row>
      </sheetData>
      <sheetData sheetId="10">
        <row r="17">
          <cell r="D17">
            <v>280.49130000000002</v>
          </cell>
        </row>
        <row r="19">
          <cell r="D19">
            <v>2.4944999999999999</v>
          </cell>
        </row>
      </sheetData>
      <sheetData sheetId="11">
        <row r="10">
          <cell r="D10">
            <v>5.2654903410520157</v>
          </cell>
        </row>
        <row r="35">
          <cell r="D35">
            <v>140415.033</v>
          </cell>
        </row>
      </sheetData>
      <sheetData sheetId="12"/>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576733.24158999999</v>
          </cell>
        </row>
      </sheetData>
      <sheetData sheetId="3">
        <row r="48">
          <cell r="D48">
            <v>198507.61938633333</v>
          </cell>
          <cell r="E48">
            <v>249199.63407413961</v>
          </cell>
          <cell r="F48">
            <v>304612.2862615065</v>
          </cell>
          <cell r="G48">
            <v>296582.8497940221</v>
          </cell>
          <cell r="H48">
            <v>324946.11771999992</v>
          </cell>
          <cell r="I48">
            <v>336208.00537622103</v>
          </cell>
          <cell r="J48">
            <v>429455.71274000162</v>
          </cell>
          <cell r="K48">
            <v>401260.42950844712</v>
          </cell>
        </row>
      </sheetData>
      <sheetData sheetId="4">
        <row r="8">
          <cell r="D8">
            <v>2551658.7267925474</v>
          </cell>
          <cell r="E8">
            <v>2839369.5598199512</v>
          </cell>
          <cell r="F8">
            <v>3236121.0804709401</v>
          </cell>
          <cell r="G8">
            <v>3644704.2338866303</v>
          </cell>
          <cell r="H8">
            <v>4235477.3012725161</v>
          </cell>
          <cell r="I8">
            <v>4725790.2241608128</v>
          </cell>
          <cell r="J8">
            <v>5292327.8421623604</v>
          </cell>
          <cell r="K8">
            <v>5978086.9657733236</v>
          </cell>
        </row>
        <row r="10">
          <cell r="D10">
            <v>-144797.46879202937</v>
          </cell>
          <cell r="E10">
            <v>-161489.02237662522</v>
          </cell>
          <cell r="F10">
            <v>-186763.11479156825</v>
          </cell>
          <cell r="G10">
            <v>-213120.53535783163</v>
          </cell>
          <cell r="H10">
            <v>-251161.21299550109</v>
          </cell>
          <cell r="I10">
            <v>-281644.9904020133</v>
          </cell>
          <cell r="J10">
            <v>-255775.8771628479</v>
          </cell>
          <cell r="K10">
            <v>-291970.30433921784</v>
          </cell>
        </row>
        <row r="12">
          <cell r="D12">
            <v>371225.19678173616</v>
          </cell>
          <cell r="E12">
            <v>464766.04228146106</v>
          </cell>
          <cell r="F12">
            <v>527550.65325261815</v>
          </cell>
          <cell r="G12">
            <v>637971.36356845207</v>
          </cell>
          <cell r="H12">
            <v>673439.12852133834</v>
          </cell>
          <cell r="I12">
            <v>727184.83153363678</v>
          </cell>
          <cell r="J12">
            <v>775495.1821153512</v>
          </cell>
          <cell r="K12">
            <v>656287.79288978584</v>
          </cell>
        </row>
        <row r="14">
          <cell r="D14">
            <v>2839369.5598199512</v>
          </cell>
          <cell r="E14">
            <v>3236121.0804709401</v>
          </cell>
          <cell r="F14">
            <v>3644704.2338866303</v>
          </cell>
          <cell r="G14">
            <v>4221237.7784325834</v>
          </cell>
          <cell r="H14">
            <v>4725790.2241608128</v>
          </cell>
          <cell r="I14">
            <v>5292327.8421623604</v>
          </cell>
          <cell r="J14">
            <v>5978086.9657733236</v>
          </cell>
          <cell r="K14">
            <v>6432858.5021103006</v>
          </cell>
        </row>
        <row r="58">
          <cell r="D58">
            <v>344297.32313730347</v>
          </cell>
          <cell r="E58">
            <v>391621.56192875054</v>
          </cell>
          <cell r="F58">
            <v>527506.37993309461</v>
          </cell>
          <cell r="G58">
            <v>662800.6221275545</v>
          </cell>
          <cell r="H58">
            <v>789157.33163838496</v>
          </cell>
          <cell r="I58">
            <v>873633.73429148202</v>
          </cell>
          <cell r="J58">
            <v>963974.90192692215</v>
          </cell>
          <cell r="K58">
            <v>1085880.8462289344</v>
          </cell>
        </row>
        <row r="60">
          <cell r="D60">
            <v>-24914.346467596883</v>
          </cell>
          <cell r="E60">
            <v>-26541.207010957143</v>
          </cell>
          <cell r="F60">
            <v>-29669.12315035121</v>
          </cell>
          <cell r="G60">
            <v>-32522.801211333186</v>
          </cell>
          <cell r="H60">
            <v>-36926.078294581603</v>
          </cell>
          <cell r="I60">
            <v>-40114.923688853531</v>
          </cell>
          <cell r="J60">
            <v>-43246.635158575824</v>
          </cell>
          <cell r="K60">
            <v>-46975.284863905428</v>
          </cell>
        </row>
        <row r="62">
          <cell r="D62">
            <v>59524.782312736359</v>
          </cell>
          <cell r="E62">
            <v>144660.23478967216</v>
          </cell>
          <cell r="F62">
            <v>151344.40888558581</v>
          </cell>
          <cell r="G62">
            <v>104032.53313639457</v>
          </cell>
          <cell r="H62">
            <v>107038.93175966028</v>
          </cell>
          <cell r="I62">
            <v>105599.23995386713</v>
          </cell>
          <cell r="J62">
            <v>133752.3695468338</v>
          </cell>
          <cell r="K62">
            <v>117685.61857178595</v>
          </cell>
        </row>
        <row r="64">
          <cell r="D64">
            <v>391621.56192875054</v>
          </cell>
          <cell r="E64">
            <v>527506.37993309461</v>
          </cell>
          <cell r="F64">
            <v>662800.6221275545</v>
          </cell>
          <cell r="G64">
            <v>763159.70053648378</v>
          </cell>
          <cell r="H64">
            <v>873633.73429148202</v>
          </cell>
          <cell r="I64">
            <v>963974.90192692215</v>
          </cell>
          <cell r="J64">
            <v>1085880.8462289344</v>
          </cell>
          <cell r="K64">
            <v>1173835.9742113776</v>
          </cell>
        </row>
      </sheetData>
      <sheetData sheetId="5">
        <row r="6">
          <cell r="D6">
            <v>11964.840000000002</v>
          </cell>
          <cell r="E6">
            <v>11974.12</v>
          </cell>
          <cell r="F6">
            <v>12036.900000000001</v>
          </cell>
          <cell r="G6">
            <v>12121.430283</v>
          </cell>
          <cell r="H6">
            <v>12103.520000000002</v>
          </cell>
          <cell r="I6">
            <v>11943.293</v>
          </cell>
          <cell r="J6">
            <v>11853.304757472308</v>
          </cell>
          <cell r="K6">
            <v>12291.140578126164</v>
          </cell>
        </row>
        <row r="47">
          <cell r="D47">
            <v>799028</v>
          </cell>
          <cell r="E47">
            <v>805190</v>
          </cell>
          <cell r="F47">
            <v>814865</v>
          </cell>
          <cell r="G47">
            <v>821578</v>
          </cell>
          <cell r="H47">
            <v>825215</v>
          </cell>
          <cell r="I47">
            <v>834416</v>
          </cell>
          <cell r="J47">
            <v>838385</v>
          </cell>
          <cell r="K47">
            <v>844244</v>
          </cell>
        </row>
        <row r="66">
          <cell r="D66">
            <v>2473.7940716784001</v>
          </cell>
          <cell r="E66">
            <v>2586.2495781620114</v>
          </cell>
          <cell r="F66">
            <v>2558.2119877434948</v>
          </cell>
          <cell r="G66">
            <v>2589.0927531859411</v>
          </cell>
          <cell r="H66">
            <v>2589.9727824338265</v>
          </cell>
          <cell r="I66">
            <v>2541.7860612408399</v>
          </cell>
          <cell r="J66">
            <v>2462.9661823770557</v>
          </cell>
          <cell r="K66">
            <v>2562.8678676928703</v>
          </cell>
        </row>
      </sheetData>
      <sheetData sheetId="6">
        <row r="9">
          <cell r="D9">
            <v>26221</v>
          </cell>
        </row>
        <row r="20">
          <cell r="D20">
            <v>194385</v>
          </cell>
          <cell r="E20">
            <v>183413</v>
          </cell>
          <cell r="F20">
            <v>179875</v>
          </cell>
          <cell r="G20">
            <v>181761</v>
          </cell>
          <cell r="H20">
            <v>182431</v>
          </cell>
          <cell r="I20">
            <v>183526</v>
          </cell>
          <cell r="J20">
            <v>183454</v>
          </cell>
          <cell r="K20">
            <v>183500</v>
          </cell>
        </row>
        <row r="31">
          <cell r="D31">
            <v>5166</v>
          </cell>
          <cell r="E31">
            <v>6039</v>
          </cell>
          <cell r="F31">
            <v>5954</v>
          </cell>
          <cell r="G31">
            <v>5989</v>
          </cell>
          <cell r="H31">
            <v>6203</v>
          </cell>
          <cell r="I31">
            <v>7066</v>
          </cell>
          <cell r="J31">
            <v>7365</v>
          </cell>
          <cell r="K31">
            <v>7607</v>
          </cell>
        </row>
        <row r="59">
          <cell r="D59">
            <v>7944.6590000000015</v>
          </cell>
          <cell r="E59">
            <v>8407.4790000000012</v>
          </cell>
          <cell r="F59">
            <v>8854.3875000000025</v>
          </cell>
          <cell r="G59">
            <v>9235.853000000001</v>
          </cell>
          <cell r="H59">
            <v>9637.1270000000004</v>
          </cell>
        </row>
        <row r="64">
          <cell r="D64">
            <v>1541</v>
          </cell>
          <cell r="E64">
            <v>1661</v>
          </cell>
          <cell r="F64">
            <v>1836</v>
          </cell>
          <cell r="G64">
            <v>1836</v>
          </cell>
          <cell r="H64">
            <v>1866</v>
          </cell>
          <cell r="I64">
            <v>1971</v>
          </cell>
          <cell r="J64">
            <v>2001</v>
          </cell>
          <cell r="K64">
            <v>2031</v>
          </cell>
        </row>
        <row r="67">
          <cell r="D67">
            <v>8075.15</v>
          </cell>
          <cell r="E67">
            <v>8787.15</v>
          </cell>
          <cell r="F67">
            <v>9447.15</v>
          </cell>
          <cell r="G67">
            <v>9617.15</v>
          </cell>
          <cell r="H67">
            <v>10209.65</v>
          </cell>
          <cell r="I67">
            <v>10500.65</v>
          </cell>
          <cell r="J67">
            <v>10846.65</v>
          </cell>
          <cell r="K67">
            <v>10945.15</v>
          </cell>
        </row>
      </sheetData>
      <sheetData sheetId="7">
        <row r="13">
          <cell r="D13">
            <v>297</v>
          </cell>
          <cell r="E13">
            <v>222.3</v>
          </cell>
          <cell r="F13">
            <v>218.4</v>
          </cell>
          <cell r="G13">
            <v>261</v>
          </cell>
          <cell r="H13">
            <v>196.5</v>
          </cell>
          <cell r="I13">
            <v>222.5</v>
          </cell>
          <cell r="J13">
            <v>237.5</v>
          </cell>
          <cell r="K13">
            <v>232.5</v>
          </cell>
        </row>
        <row r="15">
          <cell r="D15">
            <v>2.637</v>
          </cell>
          <cell r="E15">
            <v>2.2989999999999999</v>
          </cell>
          <cell r="F15">
            <v>2.2549999999999999</v>
          </cell>
          <cell r="G15">
            <v>2.3370000000000002</v>
          </cell>
          <cell r="H15">
            <v>1.996</v>
          </cell>
          <cell r="I15">
            <v>1.8660000000000001</v>
          </cell>
          <cell r="J15">
            <v>2.121</v>
          </cell>
          <cell r="K15">
            <v>1.847</v>
          </cell>
        </row>
      </sheetData>
      <sheetData sheetId="8">
        <row r="6">
          <cell r="D6">
            <v>4.2160772002978426</v>
          </cell>
        </row>
        <row r="27">
          <cell r="D27">
            <v>189519.30006014908</v>
          </cell>
          <cell r="E27">
            <v>179841.54272824817</v>
          </cell>
          <cell r="F27">
            <v>176400.00583690053</v>
          </cell>
          <cell r="G27">
            <v>178225.55710529207</v>
          </cell>
          <cell r="H27">
            <v>180726.38791515975</v>
          </cell>
          <cell r="I27">
            <v>180344</v>
          </cell>
          <cell r="J27">
            <v>180416</v>
          </cell>
          <cell r="K27">
            <v>180741</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1392957.7575600005</v>
          </cell>
        </row>
      </sheetData>
      <sheetData sheetId="3">
        <row r="201">
          <cell r="E201">
            <v>390948.49645502295</v>
          </cell>
        </row>
        <row r="210">
          <cell r="E210">
            <v>390948.49645502295</v>
          </cell>
        </row>
      </sheetData>
      <sheetData sheetId="4"/>
      <sheetData sheetId="5">
        <row r="13">
          <cell r="E13">
            <v>6423914.8096240861</v>
          </cell>
        </row>
        <row r="15">
          <cell r="E15">
            <v>-315572.23870378541</v>
          </cell>
        </row>
        <row r="17">
          <cell r="E17">
            <v>655583.37662913406</v>
          </cell>
        </row>
        <row r="19">
          <cell r="E19">
            <v>6771023.7915960243</v>
          </cell>
        </row>
        <row r="63">
          <cell r="E63">
            <v>1118479.0794899201</v>
          </cell>
        </row>
        <row r="65">
          <cell r="E65">
            <v>-51807.877511959799</v>
          </cell>
        </row>
        <row r="67">
          <cell r="E67">
            <v>109190.27092471269</v>
          </cell>
        </row>
        <row r="69">
          <cell r="E69">
            <v>1203262.9648278158</v>
          </cell>
        </row>
      </sheetData>
      <sheetData sheetId="6">
        <row r="12">
          <cell r="E12">
            <v>12029.802982677164</v>
          </cell>
        </row>
        <row r="54">
          <cell r="E54">
            <v>854231</v>
          </cell>
        </row>
        <row r="86">
          <cell r="E86">
            <v>2967.8844979999994</v>
          </cell>
        </row>
      </sheetData>
      <sheetData sheetId="7">
        <row r="14">
          <cell r="E14">
            <v>25975</v>
          </cell>
        </row>
        <row r="28">
          <cell r="E28">
            <v>183490.17200000002</v>
          </cell>
        </row>
        <row r="43">
          <cell r="E43">
            <v>7665.9</v>
          </cell>
        </row>
        <row r="83">
          <cell r="E83">
            <v>2081</v>
          </cell>
        </row>
        <row r="86">
          <cell r="E86">
            <v>10921.6</v>
          </cell>
        </row>
      </sheetData>
      <sheetData sheetId="8">
        <row r="19">
          <cell r="E19">
            <v>181.2</v>
          </cell>
        </row>
        <row r="21">
          <cell r="E21">
            <v>1.726</v>
          </cell>
        </row>
      </sheetData>
      <sheetData sheetId="9">
        <row r="12">
          <cell r="E12">
            <v>4.9104486792207709</v>
          </cell>
        </row>
        <row r="33">
          <cell r="E33">
            <v>180741</v>
          </cell>
        </row>
      </sheetData>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1380238.29666</v>
          </cell>
        </row>
      </sheetData>
      <sheetData sheetId="3">
        <row r="201">
          <cell r="E201">
            <v>391299867.02397466</v>
          </cell>
        </row>
      </sheetData>
      <sheetData sheetId="4"/>
      <sheetData sheetId="5">
        <row r="13">
          <cell r="E13">
            <v>6771023.7915960243</v>
          </cell>
        </row>
        <row r="15">
          <cell r="E15">
            <v>-264703.99040386372</v>
          </cell>
        </row>
        <row r="17">
          <cell r="E17">
            <v>486779.17064220988</v>
          </cell>
        </row>
        <row r="19">
          <cell r="E19">
            <v>7149047.7733355956</v>
          </cell>
        </row>
        <row r="63">
          <cell r="E63">
            <v>1203262.9648278158</v>
          </cell>
        </row>
        <row r="65">
          <cell r="E65">
            <v>-47208.031114947509</v>
          </cell>
        </row>
        <row r="67">
          <cell r="E67">
            <v>74718.670339066739</v>
          </cell>
        </row>
        <row r="69">
          <cell r="E69">
            <v>1260689.9841439191</v>
          </cell>
        </row>
      </sheetData>
      <sheetData sheetId="6">
        <row r="12">
          <cell r="E12">
            <v>12270.657441472902</v>
          </cell>
        </row>
        <row r="54">
          <cell r="E54">
            <v>867001</v>
          </cell>
        </row>
        <row r="86">
          <cell r="E86">
            <v>2724.0675079999996</v>
          </cell>
        </row>
      </sheetData>
      <sheetData sheetId="7">
        <row r="14">
          <cell r="E14">
            <v>25962.447</v>
          </cell>
        </row>
        <row r="28">
          <cell r="E28">
            <v>183529.79100000003</v>
          </cell>
        </row>
        <row r="43">
          <cell r="E43">
            <v>7945.5014970858138</v>
          </cell>
        </row>
        <row r="78">
          <cell r="E78">
            <v>9661.4609999999993</v>
          </cell>
        </row>
        <row r="83">
          <cell r="E83">
            <v>2131</v>
          </cell>
        </row>
        <row r="86">
          <cell r="E86">
            <v>11297.1</v>
          </cell>
        </row>
      </sheetData>
      <sheetData sheetId="8">
        <row r="19">
          <cell r="E19">
            <v>221.568489267991</v>
          </cell>
        </row>
        <row r="21">
          <cell r="E21">
            <v>1.96816573822055</v>
          </cell>
        </row>
      </sheetData>
      <sheetData sheetId="9">
        <row r="12">
          <cell r="E12">
            <v>4.7799183940414522</v>
          </cell>
        </row>
        <row r="33">
          <cell r="E33">
            <v>181384.05900000001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4a. Assets (RAB) - Alternative"/>
      <sheetName val="5. Operational data"/>
      <sheetName val="6. Physical Assets"/>
      <sheetName val="7. Quality of services"/>
      <sheetName val="8. Operating environment"/>
      <sheetName val="10. Confidentiality"/>
    </sheetNames>
    <sheetDataSet>
      <sheetData sheetId="0"/>
      <sheetData sheetId="1"/>
      <sheetData sheetId="2">
        <row r="20">
          <cell r="D20">
            <v>123812.96047000002</v>
          </cell>
        </row>
      </sheetData>
      <sheetData sheetId="3"/>
      <sheetData sheetId="4">
        <row r="8">
          <cell r="D8">
            <v>505234.72765536292</v>
          </cell>
          <cell r="E8">
            <v>518879.1991290602</v>
          </cell>
          <cell r="F8">
            <v>542290.90434767224</v>
          </cell>
          <cell r="G8">
            <v>564270.37511732092</v>
          </cell>
          <cell r="H8">
            <v>587973.52291738708</v>
          </cell>
          <cell r="I8">
            <v>634842.7588857332</v>
          </cell>
          <cell r="J8">
            <v>692174.53406190907</v>
          </cell>
          <cell r="K8">
            <v>747939.45700115338</v>
          </cell>
        </row>
        <row r="10">
          <cell r="D10">
            <v>-23628.994719235827</v>
          </cell>
          <cell r="E10">
            <v>-25150.379587713338</v>
          </cell>
          <cell r="F10">
            <v>-26570.057343712524</v>
          </cell>
          <cell r="G10">
            <v>-28677.285890860141</v>
          </cell>
          <cell r="H10">
            <v>-30604.575188427232</v>
          </cell>
          <cell r="I10">
            <v>-33775.868383474903</v>
          </cell>
          <cell r="J10">
            <v>-37392.400414643591</v>
          </cell>
          <cell r="K10">
            <v>-41035.20893735627</v>
          </cell>
        </row>
        <row r="12">
          <cell r="D12">
            <v>23420.400071124997</v>
          </cell>
          <cell r="E12">
            <v>29528.094713099999</v>
          </cell>
          <cell r="F12">
            <v>35599.297561774998</v>
          </cell>
          <cell r="G12">
            <v>37286.541253426032</v>
          </cell>
          <cell r="H12">
            <v>66573.637705501053</v>
          </cell>
          <cell r="I12">
            <v>72571.430675276773</v>
          </cell>
          <cell r="J12">
            <v>69038.734914428816</v>
          </cell>
          <cell r="K12">
            <v>67720.427720247069</v>
          </cell>
        </row>
        <row r="14">
          <cell r="D14">
            <v>518879.1991290602</v>
          </cell>
          <cell r="E14">
            <v>542290.90434767224</v>
          </cell>
          <cell r="F14">
            <v>564270.37511732092</v>
          </cell>
          <cell r="G14">
            <v>587973.52291738708</v>
          </cell>
          <cell r="H14">
            <v>634842.7588857332</v>
          </cell>
          <cell r="I14">
            <v>692174.53406190907</v>
          </cell>
          <cell r="J14">
            <v>747939.45700115338</v>
          </cell>
          <cell r="K14">
            <v>787964.78274074348</v>
          </cell>
        </row>
      </sheetData>
      <sheetData sheetId="5"/>
      <sheetData sheetId="6">
        <row r="6">
          <cell r="D6">
            <v>2758.2599927732258</v>
          </cell>
          <cell r="E6">
            <v>2820.8384251741936</v>
          </cell>
          <cell r="F6">
            <v>2847.3026528387095</v>
          </cell>
          <cell r="G6">
            <v>2872.9189710000005</v>
          </cell>
          <cell r="H6">
            <v>2896.4430109999998</v>
          </cell>
          <cell r="I6">
            <v>2909.8907380000001</v>
          </cell>
          <cell r="J6">
            <v>2891.1396340000001</v>
          </cell>
          <cell r="K6">
            <v>2903.9244520000002</v>
          </cell>
        </row>
        <row r="47">
          <cell r="D47">
            <v>154510</v>
          </cell>
          <cell r="E47">
            <v>156360</v>
          </cell>
          <cell r="F47">
            <v>158455</v>
          </cell>
          <cell r="G47">
            <v>161092</v>
          </cell>
          <cell r="H47">
            <v>164900</v>
          </cell>
          <cell r="I47">
            <v>168937</v>
          </cell>
          <cell r="J47">
            <v>173186</v>
          </cell>
          <cell r="K47">
            <v>177255</v>
          </cell>
        </row>
        <row r="66">
          <cell r="D66">
            <v>630.12</v>
          </cell>
          <cell r="E66">
            <v>610.67999999999995</v>
          </cell>
          <cell r="F66">
            <v>625.12800000000004</v>
          </cell>
          <cell r="G66">
            <v>615.16800000000001</v>
          </cell>
          <cell r="H66">
            <v>617.76</v>
          </cell>
          <cell r="I66">
            <v>620.80999999999995</v>
          </cell>
          <cell r="J66">
            <v>701.69200000000001</v>
          </cell>
          <cell r="K66">
            <v>697.803</v>
          </cell>
        </row>
      </sheetData>
      <sheetData sheetId="7">
        <row r="9">
          <cell r="D9">
            <v>1209.6666666666699</v>
          </cell>
        </row>
        <row r="16">
          <cell r="D16">
            <v>2422.2457566666694</v>
          </cell>
          <cell r="E16">
            <v>2413.5790899999997</v>
          </cell>
          <cell r="F16">
            <v>2403.5790899999997</v>
          </cell>
          <cell r="G16">
            <v>2395.5790899999997</v>
          </cell>
          <cell r="H16">
            <v>2390.5790899999997</v>
          </cell>
          <cell r="I16">
            <v>2403.5790899999997</v>
          </cell>
          <cell r="J16">
            <v>2404.0259299999998</v>
          </cell>
          <cell r="K16">
            <v>2395.0259299999998</v>
          </cell>
        </row>
        <row r="25">
          <cell r="D25">
            <v>2226.6841277321209</v>
          </cell>
          <cell r="E25">
            <v>2283</v>
          </cell>
          <cell r="F25">
            <v>2283</v>
          </cell>
          <cell r="G25">
            <v>2370</v>
          </cell>
          <cell r="H25">
            <v>2456</v>
          </cell>
          <cell r="I25">
            <v>2535</v>
          </cell>
          <cell r="J25">
            <v>2614</v>
          </cell>
          <cell r="K25">
            <v>2775.785487960351</v>
          </cell>
        </row>
        <row r="47">
          <cell r="D47">
            <v>1682</v>
          </cell>
          <cell r="E47">
            <v>1752</v>
          </cell>
          <cell r="F47">
            <v>1811</v>
          </cell>
          <cell r="G47">
            <v>1882</v>
          </cell>
          <cell r="H47">
            <v>1937</v>
          </cell>
          <cell r="I47">
            <v>1971</v>
          </cell>
          <cell r="J47">
            <v>1993</v>
          </cell>
          <cell r="K47">
            <v>2052.4</v>
          </cell>
        </row>
        <row r="52">
          <cell r="D52">
            <v>0</v>
          </cell>
          <cell r="E52">
            <v>0</v>
          </cell>
          <cell r="F52">
            <v>0</v>
          </cell>
          <cell r="G52">
            <v>0</v>
          </cell>
          <cell r="H52">
            <v>0</v>
          </cell>
          <cell r="I52">
            <v>0</v>
          </cell>
          <cell r="J52">
            <v>0</v>
          </cell>
          <cell r="K52">
            <v>0</v>
          </cell>
        </row>
        <row r="55">
          <cell r="D55">
            <v>1343</v>
          </cell>
          <cell r="E55">
            <v>1343</v>
          </cell>
          <cell r="F55">
            <v>1348</v>
          </cell>
          <cell r="G55">
            <v>1363</v>
          </cell>
          <cell r="H55">
            <v>1363</v>
          </cell>
          <cell r="I55">
            <v>1418</v>
          </cell>
          <cell r="J55">
            <v>1418</v>
          </cell>
          <cell r="K55">
            <v>1426</v>
          </cell>
        </row>
      </sheetData>
      <sheetData sheetId="8">
        <row r="13">
          <cell r="D13">
            <v>35</v>
          </cell>
          <cell r="E13">
            <v>44.3</v>
          </cell>
          <cell r="F13">
            <v>25.6</v>
          </cell>
          <cell r="G13">
            <v>29.9</v>
          </cell>
          <cell r="H13">
            <v>25.8</v>
          </cell>
          <cell r="I13">
            <v>47.7</v>
          </cell>
          <cell r="J13">
            <v>32.5</v>
          </cell>
          <cell r="K13">
            <v>28.7</v>
          </cell>
        </row>
        <row r="15">
          <cell r="D15">
            <v>0.71</v>
          </cell>
          <cell r="E15">
            <v>0.64</v>
          </cell>
          <cell r="F15">
            <v>0.56000000000000005</v>
          </cell>
          <cell r="G15">
            <v>0.59</v>
          </cell>
          <cell r="H15">
            <v>0.62</v>
          </cell>
          <cell r="I15">
            <v>0.8</v>
          </cell>
          <cell r="J15">
            <v>0.63</v>
          </cell>
          <cell r="K15">
            <v>0.59</v>
          </cell>
        </row>
      </sheetData>
      <sheetData sheetId="9">
        <row r="6">
          <cell r="D6">
            <v>40.551879293923307</v>
          </cell>
        </row>
        <row r="27">
          <cell r="D27">
            <v>3810.181</v>
          </cell>
          <cell r="E27">
            <v>3809.5540000000001</v>
          </cell>
          <cell r="F27">
            <v>3835.902</v>
          </cell>
          <cell r="G27">
            <v>3868.9319999999998</v>
          </cell>
          <cell r="H27">
            <v>3906.538</v>
          </cell>
          <cell r="I27">
            <v>3955.8760000000002</v>
          </cell>
          <cell r="J27">
            <v>4015.212</v>
          </cell>
          <cell r="K27">
            <v>4086.7759999999998</v>
          </cell>
        </row>
      </sheetData>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7ESS2016"/>
    </sheetNames>
    <sheetDataSet>
      <sheetData sheetId="0"/>
      <sheetData sheetId="1"/>
      <sheetData sheetId="2"/>
      <sheetData sheetId="3"/>
      <sheetData sheetId="4">
        <row r="25">
          <cell r="C25">
            <v>858797717.68700016</v>
          </cell>
        </row>
      </sheetData>
      <sheetData sheetId="5">
        <row r="68">
          <cell r="C68">
            <v>313936839.55385602</v>
          </cell>
        </row>
      </sheetData>
      <sheetData sheetId="6"/>
      <sheetData sheetId="7">
        <row r="13">
          <cell r="C13">
            <v>7149047773.3355961</v>
          </cell>
        </row>
        <row r="15">
          <cell r="C15">
            <v>-293436580.74455613</v>
          </cell>
        </row>
        <row r="16">
          <cell r="C16">
            <v>430534510.15534556</v>
          </cell>
        </row>
        <row r="18">
          <cell r="C18">
            <v>7380226966.111311</v>
          </cell>
        </row>
        <row r="61">
          <cell r="C61">
            <v>1260689984.1439192</v>
          </cell>
        </row>
        <row r="63">
          <cell r="C63">
            <v>-52195790.12094184</v>
          </cell>
        </row>
        <row r="66">
          <cell r="C66">
            <v>1285160553.5336244</v>
          </cell>
        </row>
      </sheetData>
      <sheetData sheetId="8">
        <row r="12">
          <cell r="D12">
            <v>12313.244188421206</v>
          </cell>
        </row>
        <row r="58">
          <cell r="D58">
            <v>879064.5</v>
          </cell>
        </row>
        <row r="94">
          <cell r="D94">
            <v>2847.7780039999998</v>
          </cell>
        </row>
      </sheetData>
      <sheetData sheetId="9">
        <row r="13">
          <cell r="C13">
            <v>25826.160061913983</v>
          </cell>
        </row>
        <row r="27">
          <cell r="C27">
            <v>183611.89977583548</v>
          </cell>
        </row>
        <row r="41">
          <cell r="C41">
            <v>8333.4244197472181</v>
          </cell>
        </row>
        <row r="79">
          <cell r="C79">
            <v>9859.4145000000008</v>
          </cell>
        </row>
        <row r="83">
          <cell r="C83">
            <v>2109</v>
          </cell>
        </row>
        <row r="86">
          <cell r="C86">
            <v>11353.45</v>
          </cell>
        </row>
      </sheetData>
      <sheetData sheetId="10">
        <row r="17">
          <cell r="D17">
            <v>214.148293962503</v>
          </cell>
        </row>
        <row r="19">
          <cell r="D19">
            <v>1.7670367702052401</v>
          </cell>
        </row>
      </sheetData>
      <sheetData sheetId="11">
        <row r="10">
          <cell r="D10">
            <v>4.8380079527227169</v>
          </cell>
        </row>
        <row r="35">
          <cell r="D35">
            <v>181699.78400000001</v>
          </cell>
        </row>
      </sheetData>
      <sheetData sheetId="12"/>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152261.73300000001</v>
          </cell>
        </row>
      </sheetData>
      <sheetData sheetId="3">
        <row r="80">
          <cell r="D80">
            <v>46756.092287101921</v>
          </cell>
          <cell r="E80">
            <v>51252.352222211397</v>
          </cell>
          <cell r="F80">
            <v>43220.358648427165</v>
          </cell>
          <cell r="G80">
            <v>48349.725749866964</v>
          </cell>
          <cell r="H80">
            <v>58605.575110382997</v>
          </cell>
          <cell r="I80">
            <v>59886.898408099434</v>
          </cell>
          <cell r="J80">
            <v>70098.067766092558</v>
          </cell>
          <cell r="K80">
            <v>69150.303926688226</v>
          </cell>
        </row>
      </sheetData>
      <sheetData sheetId="4">
        <row r="8">
          <cell r="D8">
            <v>460096.2998432999</v>
          </cell>
          <cell r="E8">
            <v>495664.26870087162</v>
          </cell>
          <cell r="F8">
            <v>537963.71778262034</v>
          </cell>
          <cell r="G8">
            <v>549503.93308706919</v>
          </cell>
          <cell r="H8">
            <v>608125.80768634879</v>
          </cell>
          <cell r="I8">
            <v>626852.63889194198</v>
          </cell>
          <cell r="J8">
            <v>722141.08401789272</v>
          </cell>
          <cell r="K8">
            <v>809008.67921884859</v>
          </cell>
        </row>
        <row r="10">
          <cell r="D10">
            <v>-29220.598418442733</v>
          </cell>
          <cell r="E10">
            <v>-31713.910559852517</v>
          </cell>
          <cell r="F10">
            <v>-32953.009665072146</v>
          </cell>
          <cell r="G10">
            <v>-34153.517460740855</v>
          </cell>
          <cell r="H10">
            <v>-35426.078082974593</v>
          </cell>
          <cell r="I10">
            <v>-37018.887065742354</v>
          </cell>
          <cell r="J10">
            <v>-44475.252429240143</v>
          </cell>
          <cell r="K10">
            <v>-52565.461213156748</v>
          </cell>
        </row>
        <row r="12">
          <cell r="D12">
            <v>50952.907170412349</v>
          </cell>
          <cell r="E12">
            <v>54594.790806106583</v>
          </cell>
          <cell r="F12">
            <v>34722.806731957717</v>
          </cell>
          <cell r="G12">
            <v>65418.407571030257</v>
          </cell>
          <cell r="H12">
            <v>83539.316741557297</v>
          </cell>
          <cell r="I12">
            <v>114252.51906946178</v>
          </cell>
          <cell r="J12">
            <v>104682.679592951</v>
          </cell>
          <cell r="K12">
            <v>112219.40548046571</v>
          </cell>
        </row>
        <row r="14">
          <cell r="D14">
            <v>495664.26870087162</v>
          </cell>
          <cell r="E14">
            <v>537963.71778262034</v>
          </cell>
          <cell r="F14">
            <v>549503.93308706919</v>
          </cell>
          <cell r="G14">
            <v>608125.80768634879</v>
          </cell>
          <cell r="H14">
            <v>626852.63889194198</v>
          </cell>
          <cell r="I14">
            <v>722141.08401789272</v>
          </cell>
          <cell r="J14">
            <v>809008.67921884859</v>
          </cell>
          <cell r="K14">
            <v>885337.19972336292</v>
          </cell>
        </row>
      </sheetData>
      <sheetData sheetId="5">
        <row r="6">
          <cell r="D6">
            <v>4278</v>
          </cell>
          <cell r="E6">
            <v>4379</v>
          </cell>
          <cell r="F6">
            <v>4490</v>
          </cell>
          <cell r="G6">
            <v>4376</v>
          </cell>
          <cell r="H6">
            <v>4450</v>
          </cell>
          <cell r="I6">
            <v>4415</v>
          </cell>
          <cell r="J6">
            <v>4365</v>
          </cell>
          <cell r="K6">
            <v>4254</v>
          </cell>
        </row>
        <row r="47">
          <cell r="D47">
            <v>293175.49999999994</v>
          </cell>
          <cell r="E47">
            <v>299118.49999999994</v>
          </cell>
          <cell r="F47">
            <v>302627.5</v>
          </cell>
          <cell r="G47">
            <v>305243</v>
          </cell>
          <cell r="H47">
            <v>309598</v>
          </cell>
          <cell r="I47">
            <v>313362.00000000006</v>
          </cell>
          <cell r="J47">
            <v>317050.00000000006</v>
          </cell>
          <cell r="K47">
            <v>318830</v>
          </cell>
        </row>
        <row r="66">
          <cell r="D66">
            <v>836.98500799999988</v>
          </cell>
          <cell r="E66">
            <v>901.72535600000003</v>
          </cell>
          <cell r="F66">
            <v>958.34431600000005</v>
          </cell>
          <cell r="G66">
            <v>1019.66512</v>
          </cell>
          <cell r="H66">
            <v>993.45596399999999</v>
          </cell>
          <cell r="I66">
            <v>1017.0411079999999</v>
          </cell>
          <cell r="J66">
            <v>892.44925200000012</v>
          </cell>
          <cell r="K66">
            <v>977</v>
          </cell>
        </row>
      </sheetData>
      <sheetData sheetId="6">
        <row r="9">
          <cell r="D9">
            <v>2420.14309</v>
          </cell>
        </row>
        <row r="17">
          <cell r="D17">
            <v>4417.8421802475241</v>
          </cell>
          <cell r="E17">
            <v>4425.5257642176875</v>
          </cell>
          <cell r="F17">
            <v>4452.411925837373</v>
          </cell>
          <cell r="G17">
            <v>4463.4639300000008</v>
          </cell>
          <cell r="H17">
            <v>4463.8128199999992</v>
          </cell>
          <cell r="I17">
            <v>4475.9594627931192</v>
          </cell>
          <cell r="J17">
            <v>4472.4291066561345</v>
          </cell>
          <cell r="K17">
            <v>4455.5649999999996</v>
          </cell>
        </row>
        <row r="28">
          <cell r="D28">
            <v>1300.8904054881041</v>
          </cell>
          <cell r="E28">
            <v>1344.3303160118953</v>
          </cell>
          <cell r="F28">
            <v>1415.6762888429591</v>
          </cell>
          <cell r="G28">
            <v>1463.26622</v>
          </cell>
          <cell r="H28">
            <v>1507.1591800000003</v>
          </cell>
          <cell r="I28">
            <v>1565.6344853564392</v>
          </cell>
          <cell r="J28">
            <v>1630.0100000000002</v>
          </cell>
          <cell r="K28">
            <v>1679.2797602493763</v>
          </cell>
        </row>
        <row r="53">
          <cell r="D53">
            <v>1825.61</v>
          </cell>
          <cell r="E53">
            <v>1864.4365</v>
          </cell>
          <cell r="F53">
            <v>2007.2629999999999</v>
          </cell>
          <cell r="G53">
            <v>2122.2860000000001</v>
          </cell>
          <cell r="H53">
            <v>2084.4229999999998</v>
          </cell>
          <cell r="I53">
            <v>2376.16</v>
          </cell>
          <cell r="J53">
            <v>2384.1860000000001</v>
          </cell>
          <cell r="K53">
            <v>2463.049</v>
          </cell>
        </row>
        <row r="58">
          <cell r="D58">
            <v>0</v>
          </cell>
          <cell r="E58">
            <v>0</v>
          </cell>
          <cell r="F58">
            <v>0</v>
          </cell>
          <cell r="G58">
            <v>0</v>
          </cell>
          <cell r="H58">
            <v>0</v>
          </cell>
          <cell r="I58">
            <v>0</v>
          </cell>
          <cell r="J58">
            <v>0</v>
          </cell>
          <cell r="K58">
            <v>0</v>
          </cell>
        </row>
        <row r="61">
          <cell r="D61">
            <v>1474</v>
          </cell>
          <cell r="E61">
            <v>1458</v>
          </cell>
          <cell r="F61">
            <v>1524</v>
          </cell>
          <cell r="G61">
            <v>1557</v>
          </cell>
          <cell r="H61">
            <v>1563</v>
          </cell>
          <cell r="I61">
            <v>1593.3</v>
          </cell>
          <cell r="J61">
            <v>1633.3</v>
          </cell>
          <cell r="K61">
            <v>1633.3</v>
          </cell>
        </row>
      </sheetData>
      <sheetData sheetId="7">
        <row r="13">
          <cell r="D13">
            <v>69.021352361721284</v>
          </cell>
          <cell r="E13">
            <v>67.811222289456708</v>
          </cell>
          <cell r="F13">
            <v>62.878306039097502</v>
          </cell>
          <cell r="G13">
            <v>71.279554322294047</v>
          </cell>
          <cell r="H13">
            <v>62.346781955955791</v>
          </cell>
          <cell r="I13">
            <v>55.23865369764043</v>
          </cell>
          <cell r="J13">
            <v>50.241946065289383</v>
          </cell>
          <cell r="K13">
            <v>59.791650722955808</v>
          </cell>
        </row>
        <row r="15">
          <cell r="D15">
            <v>1.1893913553633313</v>
          </cell>
          <cell r="E15">
            <v>1.3185788933501383</v>
          </cell>
          <cell r="F15">
            <v>1.0038463063563186</v>
          </cell>
          <cell r="G15">
            <v>1.17244949106122</v>
          </cell>
          <cell r="H15">
            <v>0.93637878797666652</v>
          </cell>
          <cell r="I15">
            <v>0.9028535687160536</v>
          </cell>
          <cell r="J15">
            <v>0.92303737580823209</v>
          </cell>
          <cell r="K15">
            <v>1.1120691277483299</v>
          </cell>
        </row>
      </sheetData>
      <sheetData sheetId="8">
        <row r="6">
          <cell r="D6">
            <v>72.178065092771007</v>
          </cell>
        </row>
        <row r="27">
          <cell r="D27">
            <v>4061.8365097925425</v>
          </cell>
          <cell r="E27">
            <v>4096.2416794572973</v>
          </cell>
          <cell r="F27">
            <v>4163.0765337687144</v>
          </cell>
          <cell r="G27">
            <v>4202.67561458616</v>
          </cell>
          <cell r="H27">
            <v>4232.0720100870267</v>
          </cell>
          <cell r="I27">
            <v>4279.6911179924782</v>
          </cell>
          <cell r="J27">
            <v>4319.8792326594175</v>
          </cell>
          <cell r="K27">
            <v>4340.3851949999998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245399.77781213622</v>
          </cell>
        </row>
      </sheetData>
      <sheetData sheetId="3">
        <row r="210">
          <cell r="E210">
            <v>69918.55661300612</v>
          </cell>
        </row>
      </sheetData>
      <sheetData sheetId="4"/>
      <sheetData sheetId="5">
        <row r="13">
          <cell r="E13">
            <v>882164.26626825356</v>
          </cell>
        </row>
        <row r="15">
          <cell r="E15">
            <v>-58369.901011614966</v>
          </cell>
        </row>
        <row r="17">
          <cell r="E17">
            <v>114524.67331926168</v>
          </cell>
        </row>
        <row r="19">
          <cell r="E19">
            <v>956418.75217463169</v>
          </cell>
        </row>
      </sheetData>
      <sheetData sheetId="6">
        <row r="12">
          <cell r="E12">
            <v>4135.5218560000003</v>
          </cell>
        </row>
        <row r="54">
          <cell r="E54">
            <v>318429</v>
          </cell>
        </row>
        <row r="86">
          <cell r="E86">
            <v>1013.292990106</v>
          </cell>
        </row>
      </sheetData>
      <sheetData sheetId="7">
        <row r="14">
          <cell r="E14">
            <v>2440.8106412394536</v>
          </cell>
        </row>
        <row r="28">
          <cell r="E28">
            <v>4435.5072043394539</v>
          </cell>
        </row>
        <row r="43">
          <cell r="E43">
            <v>1725.0657418734829</v>
          </cell>
        </row>
        <row r="78">
          <cell r="E78">
            <v>2527.13</v>
          </cell>
        </row>
        <row r="83">
          <cell r="E83">
            <v>0</v>
          </cell>
        </row>
        <row r="86">
          <cell r="E86">
            <v>1644.3</v>
          </cell>
        </row>
      </sheetData>
      <sheetData sheetId="8">
        <row r="19">
          <cell r="E19">
            <v>58.621416391095032</v>
          </cell>
        </row>
        <row r="21">
          <cell r="E21">
            <v>0.9563105119194546</v>
          </cell>
        </row>
      </sheetData>
      <sheetData sheetId="9">
        <row r="12">
          <cell r="E12">
            <v>71.149301828574437</v>
          </cell>
        </row>
        <row r="33">
          <cell r="E33">
            <v>4475.5042117941766</v>
          </cell>
        </row>
      </sheetData>
      <sheetData sheetId="10"/>
      <sheetData sheetId="1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259269552.51884061</v>
          </cell>
        </row>
      </sheetData>
      <sheetData sheetId="3">
        <row r="210">
          <cell r="E210">
            <v>73079730.390022874</v>
          </cell>
        </row>
      </sheetData>
      <sheetData sheetId="4"/>
      <sheetData sheetId="5">
        <row r="13">
          <cell r="E13">
            <v>963670839.976071</v>
          </cell>
        </row>
        <row r="15">
          <cell r="E15">
            <v>-61453443.724107765</v>
          </cell>
        </row>
        <row r="17">
          <cell r="E17">
            <v>111151078.59967536</v>
          </cell>
        </row>
        <row r="19">
          <cell r="E19">
            <v>1035368972.9117879</v>
          </cell>
        </row>
      </sheetData>
      <sheetData sheetId="6">
        <row r="12">
          <cell r="E12">
            <v>4212.0177640000002</v>
          </cell>
        </row>
        <row r="54">
          <cell r="E54">
            <v>321417</v>
          </cell>
        </row>
        <row r="86">
          <cell r="E86">
            <v>876.42929976799996</v>
          </cell>
        </row>
      </sheetData>
      <sheetData sheetId="7">
        <row r="14">
          <cell r="E14">
            <v>2442.7468900000003</v>
          </cell>
        </row>
        <row r="28">
          <cell r="E28">
            <v>4450.8945199999998</v>
          </cell>
        </row>
        <row r="43">
          <cell r="E43">
            <v>1795.4201599999999</v>
          </cell>
        </row>
        <row r="78">
          <cell r="E78">
            <v>2612</v>
          </cell>
        </row>
        <row r="83">
          <cell r="E83">
            <v>0</v>
          </cell>
        </row>
        <row r="86">
          <cell r="E86">
            <v>1791</v>
          </cell>
        </row>
      </sheetData>
      <sheetData sheetId="8">
        <row r="19">
          <cell r="E19">
            <v>46.948210580025325</v>
          </cell>
        </row>
        <row r="21">
          <cell r="E21">
            <v>0.77269092798451855</v>
          </cell>
        </row>
      </sheetData>
      <sheetData sheetId="9">
        <row r="12">
          <cell r="E12">
            <v>71.664882943143809</v>
          </cell>
        </row>
        <row r="33">
          <cell r="E33">
            <v>4485</v>
          </cell>
        </row>
      </sheetData>
      <sheetData sheetId="1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8JEN2016"/>
    </sheetNames>
    <sheetDataSet>
      <sheetData sheetId="0"/>
      <sheetData sheetId="1"/>
      <sheetData sheetId="2"/>
      <sheetData sheetId="3"/>
      <sheetData sheetId="4">
        <row r="25">
          <cell r="C25">
            <v>255405798.55339962</v>
          </cell>
        </row>
      </sheetData>
      <sheetData sheetId="5">
        <row r="68">
          <cell r="C68">
            <v>78086164.036029279</v>
          </cell>
        </row>
      </sheetData>
      <sheetData sheetId="6"/>
      <sheetData sheetId="7">
        <row r="13">
          <cell r="C13">
            <v>1031155145.671586</v>
          </cell>
        </row>
        <row r="15">
          <cell r="C15">
            <v>-74463361.478907466</v>
          </cell>
        </row>
        <row r="16">
          <cell r="C16">
            <v>116703826.61645064</v>
          </cell>
        </row>
        <row r="18">
          <cell r="C18">
            <v>1088832184.9157259</v>
          </cell>
        </row>
      </sheetData>
      <sheetData sheetId="8">
        <row r="12">
          <cell r="D12">
            <v>4186.8922570000004</v>
          </cell>
        </row>
        <row r="58">
          <cell r="D58">
            <v>327386</v>
          </cell>
        </row>
        <row r="94">
          <cell r="D94">
            <v>987.00584000000003</v>
          </cell>
        </row>
      </sheetData>
      <sheetData sheetId="9">
        <row r="13">
          <cell r="C13">
            <v>2448.6215200000001</v>
          </cell>
        </row>
        <row r="27">
          <cell r="C27">
            <v>4449.6114974044585</v>
          </cell>
        </row>
        <row r="41">
          <cell r="C41">
            <v>1851.3087937315154</v>
          </cell>
        </row>
        <row r="79">
          <cell r="C79">
            <v>2677.78</v>
          </cell>
        </row>
        <row r="83">
          <cell r="C83">
            <v>0</v>
          </cell>
        </row>
        <row r="86">
          <cell r="C86">
            <v>1791</v>
          </cell>
        </row>
      </sheetData>
      <sheetData sheetId="10">
        <row r="17">
          <cell r="D17">
            <v>45.59627473380047</v>
          </cell>
        </row>
        <row r="19">
          <cell r="D19">
            <v>0.8770747680108496</v>
          </cell>
        </row>
      </sheetData>
      <sheetData sheetId="11">
        <row r="10">
          <cell r="D10">
            <v>71.819999999999993</v>
          </cell>
        </row>
        <row r="35">
          <cell r="D35">
            <v>4558.1907000000001</v>
          </cell>
        </row>
      </sheetData>
      <sheetData sheetId="12"/>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391330.18778942223</v>
          </cell>
        </row>
      </sheetData>
      <sheetData sheetId="3">
        <row r="109">
          <cell r="D109">
            <v>119182.77169966792</v>
          </cell>
          <cell r="E109">
            <v>108472.2547782241</v>
          </cell>
          <cell r="F109">
            <v>115769.54368062103</v>
          </cell>
          <cell r="G109">
            <v>130669.61109486467</v>
          </cell>
          <cell r="H109">
            <v>129799.91204555522</v>
          </cell>
          <cell r="I109">
            <v>140102.32111381949</v>
          </cell>
          <cell r="J109">
            <v>171389.09954228744</v>
          </cell>
          <cell r="K109">
            <v>187940.63448701706</v>
          </cell>
        </row>
      </sheetData>
      <sheetData sheetId="4">
        <row r="8">
          <cell r="D8">
            <v>1265631.5610493703</v>
          </cell>
          <cell r="E8">
            <v>1364449.9405211932</v>
          </cell>
          <cell r="F8">
            <v>1474133.5956784717</v>
          </cell>
          <cell r="G8">
            <v>1559843.4718780916</v>
          </cell>
          <cell r="H8">
            <v>1707776.019788391</v>
          </cell>
          <cell r="I8">
            <v>1809478.2372764214</v>
          </cell>
          <cell r="J8">
            <v>1976102.0182559707</v>
          </cell>
          <cell r="K8">
            <v>2170960.205174949</v>
          </cell>
        </row>
        <row r="10">
          <cell r="D10">
            <v>-77661.587309336406</v>
          </cell>
          <cell r="E10">
            <v>-81993.927730056923</v>
          </cell>
          <cell r="F10">
            <v>-85462.954533099983</v>
          </cell>
          <cell r="G10">
            <v>-92714.426115943046</v>
          </cell>
          <cell r="H10">
            <v>-97108.533098771266</v>
          </cell>
          <cell r="I10">
            <v>-91578.358235293563</v>
          </cell>
          <cell r="J10">
            <v>-102051.4872868394</v>
          </cell>
          <cell r="K10">
            <v>-113068.91101421771</v>
          </cell>
        </row>
        <row r="12">
          <cell r="D12">
            <v>142464.07272172926</v>
          </cell>
          <cell r="E12">
            <v>141748.33675135425</v>
          </cell>
          <cell r="F12">
            <v>146555.69987816046</v>
          </cell>
          <cell r="G12">
            <v>140471.71417571875</v>
          </cell>
          <cell r="H12">
            <v>181678.52335255177</v>
          </cell>
          <cell r="I12">
            <v>210519.91420794337</v>
          </cell>
          <cell r="J12">
            <v>229213.16194823282</v>
          </cell>
          <cell r="K12">
            <v>255081.44945299358</v>
          </cell>
        </row>
        <row r="14">
          <cell r="D14">
            <v>1364449.940521193</v>
          </cell>
          <cell r="E14">
            <v>1474133.595678472</v>
          </cell>
          <cell r="F14">
            <v>1559843.4718780916</v>
          </cell>
          <cell r="G14">
            <v>1684473.0891507624</v>
          </cell>
          <cell r="H14">
            <v>1809478.2372764214</v>
          </cell>
          <cell r="I14">
            <v>1976102.0182559707</v>
          </cell>
          <cell r="J14">
            <v>2170960.205174949</v>
          </cell>
          <cell r="K14">
            <v>2355031.7294502966</v>
          </cell>
        </row>
      </sheetData>
      <sheetData sheetId="5">
        <row r="6">
          <cell r="D6">
            <v>10147.799590551467</v>
          </cell>
          <cell r="E6">
            <v>10299.201244249922</v>
          </cell>
          <cell r="F6">
            <v>10510.327417061566</v>
          </cell>
          <cell r="G6">
            <v>10490.717127596528</v>
          </cell>
          <cell r="H6">
            <v>10678.105955435442</v>
          </cell>
          <cell r="I6">
            <v>10470.676586587089</v>
          </cell>
          <cell r="J6">
            <v>10743.806137023681</v>
          </cell>
          <cell r="K6">
            <v>10555.881312208892</v>
          </cell>
        </row>
        <row r="47">
          <cell r="D47">
            <v>663966.3573024238</v>
          </cell>
          <cell r="E47">
            <v>675821.59009513049</v>
          </cell>
          <cell r="F47">
            <v>688356.4318822237</v>
          </cell>
          <cell r="G47">
            <v>701004.54183504835</v>
          </cell>
          <cell r="H47">
            <v>715219.69663430494</v>
          </cell>
          <cell r="I47">
            <v>731281.52706414193</v>
          </cell>
          <cell r="J47">
            <v>743561.51547834044</v>
          </cell>
          <cell r="K47">
            <v>753913.41676783864</v>
          </cell>
        </row>
        <row r="66">
          <cell r="D66">
            <v>2069.6999999999998</v>
          </cell>
          <cell r="E66">
            <v>2183.549</v>
          </cell>
          <cell r="F66">
            <v>2313.63</v>
          </cell>
          <cell r="G66">
            <v>2516.69</v>
          </cell>
          <cell r="H66">
            <v>2446.64</v>
          </cell>
          <cell r="I66">
            <v>2383.48</v>
          </cell>
          <cell r="J66">
            <v>2267.0300000000002</v>
          </cell>
          <cell r="K66">
            <v>2413.48</v>
          </cell>
        </row>
      </sheetData>
      <sheetData sheetId="6">
        <row r="9">
          <cell r="D9">
            <v>9514.4040622877856</v>
          </cell>
        </row>
        <row r="17">
          <cell r="D17">
            <v>68353.062800743457</v>
          </cell>
          <cell r="E17">
            <v>68418</v>
          </cell>
          <cell r="F17">
            <v>68579</v>
          </cell>
          <cell r="G17">
            <v>68354.524061887831</v>
          </cell>
          <cell r="H17">
            <v>68369.845763600315</v>
          </cell>
          <cell r="I17">
            <v>68445</v>
          </cell>
          <cell r="J17">
            <v>68767</v>
          </cell>
          <cell r="K17">
            <v>68824</v>
          </cell>
        </row>
        <row r="28">
          <cell r="D28">
            <v>3323.7991023187465</v>
          </cell>
          <cell r="E28">
            <v>3512.4999999999995</v>
          </cell>
          <cell r="F28">
            <v>3541.5000000000005</v>
          </cell>
          <cell r="G28">
            <v>4584.7061214397945</v>
          </cell>
          <cell r="H28">
            <v>5128.6620490220139</v>
          </cell>
          <cell r="I28">
            <v>4688</v>
          </cell>
          <cell r="J28">
            <v>4830</v>
          </cell>
          <cell r="K28">
            <v>5065</v>
          </cell>
        </row>
        <row r="53">
          <cell r="D53">
            <v>5229.0730000000003</v>
          </cell>
          <cell r="E53">
            <v>5374.2036811351909</v>
          </cell>
          <cell r="F53">
            <v>5651.232</v>
          </cell>
          <cell r="G53">
            <v>5851.8450000000003</v>
          </cell>
          <cell r="H53">
            <v>6070.5140000000001</v>
          </cell>
          <cell r="I53">
            <v>6261.7740000000003</v>
          </cell>
          <cell r="J53">
            <v>6405.6720000000014</v>
          </cell>
          <cell r="K53">
            <v>6598.3270000000002</v>
          </cell>
        </row>
        <row r="58">
          <cell r="D58">
            <v>0</v>
          </cell>
          <cell r="E58">
            <v>0</v>
          </cell>
          <cell r="F58">
            <v>0</v>
          </cell>
          <cell r="G58">
            <v>0</v>
          </cell>
          <cell r="H58">
            <v>0</v>
          </cell>
          <cell r="I58">
            <v>0</v>
          </cell>
          <cell r="J58">
            <v>0</v>
          </cell>
          <cell r="K58">
            <v>0</v>
          </cell>
        </row>
        <row r="61">
          <cell r="D61">
            <v>2663</v>
          </cell>
          <cell r="E61">
            <v>2791.8</v>
          </cell>
          <cell r="F61">
            <v>2862</v>
          </cell>
          <cell r="G61">
            <v>2893</v>
          </cell>
          <cell r="H61">
            <v>2903</v>
          </cell>
          <cell r="I61">
            <v>2947</v>
          </cell>
          <cell r="J61">
            <v>3058.5</v>
          </cell>
          <cell r="K61">
            <v>3197</v>
          </cell>
        </row>
      </sheetData>
      <sheetData sheetId="7">
        <row r="13">
          <cell r="D13">
            <v>121.15573509668673</v>
          </cell>
          <cell r="E13">
            <v>140.60759218572258</v>
          </cell>
          <cell r="F13">
            <v>118.90660700838622</v>
          </cell>
          <cell r="G13">
            <v>170.26821726930939</v>
          </cell>
          <cell r="H13">
            <v>149.94903693856875</v>
          </cell>
          <cell r="I13">
            <v>125.11566741846536</v>
          </cell>
          <cell r="J13">
            <v>129.5445426218773</v>
          </cell>
          <cell r="K13">
            <v>139.15164793268386</v>
          </cell>
        </row>
        <row r="15">
          <cell r="D15">
            <v>1.8943911242300253</v>
          </cell>
          <cell r="E15">
            <v>1.7331809061082342</v>
          </cell>
          <cell r="F15">
            <v>1.4981115522120945</v>
          </cell>
          <cell r="G15">
            <v>1.8116852906586625</v>
          </cell>
          <cell r="H15">
            <v>1.7668429686616296</v>
          </cell>
          <cell r="I15">
            <v>1.351228016770367</v>
          </cell>
          <cell r="J15">
            <v>1.3730259960714726</v>
          </cell>
          <cell r="K15">
            <v>1.4363829921479709</v>
          </cell>
        </row>
      </sheetData>
      <sheetData sheetId="8">
        <row r="6">
          <cell r="D6">
            <v>10.24895308671211</v>
          </cell>
        </row>
        <row r="27">
          <cell r="D27">
            <v>64783.822472879117</v>
          </cell>
          <cell r="E27">
            <v>65013.415822291761</v>
          </cell>
          <cell r="F27">
            <v>65186.309286985103</v>
          </cell>
          <cell r="G27">
            <v>65985.544849508558</v>
          </cell>
          <cell r="H27">
            <v>66521.546676126571</v>
          </cell>
          <cell r="I27">
            <v>66216.546006737946</v>
          </cell>
          <cell r="J27">
            <v>66542.324039862317</v>
          </cell>
          <cell r="K27">
            <v>66836.138240359753</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588969.78102229128</v>
          </cell>
        </row>
      </sheetData>
      <sheetData sheetId="3">
        <row r="201">
          <cell r="E201">
            <v>151526.80194230785</v>
          </cell>
        </row>
        <row r="203">
          <cell r="E203">
            <v>23431.746388459091</v>
          </cell>
        </row>
        <row r="210">
          <cell r="E210">
            <v>151526.80194230785</v>
          </cell>
        </row>
      </sheetData>
      <sheetData sheetId="4"/>
      <sheetData sheetId="5">
        <row r="13">
          <cell r="E13">
            <v>2350575.2354074488</v>
          </cell>
        </row>
        <row r="15">
          <cell r="E15">
            <v>-123402.92996482523</v>
          </cell>
        </row>
        <row r="17">
          <cell r="E17">
            <v>296383.71860063414</v>
          </cell>
        </row>
        <row r="19">
          <cell r="E19">
            <v>2572880.2053636741</v>
          </cell>
        </row>
      </sheetData>
      <sheetData sheetId="6">
        <row r="12">
          <cell r="E12">
            <v>10332.961914579491</v>
          </cell>
        </row>
        <row r="54">
          <cell r="E54">
            <v>765240.73900240555</v>
          </cell>
        </row>
        <row r="86">
          <cell r="E86">
            <v>2571.31</v>
          </cell>
        </row>
      </sheetData>
      <sheetData sheetId="7">
        <row r="14">
          <cell r="E14">
            <v>9664.1974100000007</v>
          </cell>
        </row>
        <row r="28">
          <cell r="E28">
            <v>68933.032789999997</v>
          </cell>
        </row>
        <row r="43">
          <cell r="E43">
            <v>5248.4063490000008</v>
          </cell>
        </row>
        <row r="78">
          <cell r="E78">
            <v>6757.59</v>
          </cell>
        </row>
        <row r="83">
          <cell r="E83">
            <v>0</v>
          </cell>
        </row>
        <row r="86">
          <cell r="E86">
            <v>3349</v>
          </cell>
        </row>
      </sheetData>
      <sheetData sheetId="8">
        <row r="19">
          <cell r="E19">
            <v>166.22700974925019</v>
          </cell>
        </row>
        <row r="21">
          <cell r="E21">
            <v>1.6008364060207474</v>
          </cell>
        </row>
      </sheetData>
      <sheetData sheetId="9">
        <row r="12">
          <cell r="E12">
            <v>11.420484732710504</v>
          </cell>
        </row>
        <row r="33">
          <cell r="E33">
            <v>67006</v>
          </cell>
        </row>
      </sheetData>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657071106.3897475</v>
          </cell>
        </row>
      </sheetData>
      <sheetData sheetId="3">
        <row r="106">
          <cell r="E106">
            <v>191213682.59831128</v>
          </cell>
        </row>
        <row r="201">
          <cell r="E201">
            <v>190733859</v>
          </cell>
        </row>
      </sheetData>
      <sheetData sheetId="4"/>
      <sheetData sheetId="5">
        <row r="13">
          <cell r="E13">
            <v>2533681709.4512305</v>
          </cell>
        </row>
        <row r="15">
          <cell r="E15">
            <v>-136847177.23917308</v>
          </cell>
        </row>
        <row r="17">
          <cell r="E17">
            <v>285059665.131441</v>
          </cell>
        </row>
        <row r="19">
          <cell r="E19">
            <v>2732719173.5698414</v>
          </cell>
        </row>
      </sheetData>
      <sheetData sheetId="6">
        <row r="12">
          <cell r="E12">
            <v>10712.6550191764</v>
          </cell>
        </row>
        <row r="54">
          <cell r="E54">
            <v>777161.00874878757</v>
          </cell>
        </row>
        <row r="86">
          <cell r="E86">
            <v>2301.43869</v>
          </cell>
        </row>
      </sheetData>
      <sheetData sheetId="7">
        <row r="14">
          <cell r="E14">
            <v>9648.8695599992097</v>
          </cell>
        </row>
        <row r="28">
          <cell r="E28">
            <v>68875.0469999981</v>
          </cell>
        </row>
        <row r="43">
          <cell r="E43">
            <v>5576.7225400000398</v>
          </cell>
        </row>
        <row r="78">
          <cell r="E78">
            <v>6913.93</v>
          </cell>
        </row>
        <row r="83">
          <cell r="E83">
            <v>0</v>
          </cell>
        </row>
        <row r="86">
          <cell r="E86">
            <v>3291.5</v>
          </cell>
        </row>
      </sheetData>
      <sheetData sheetId="8">
        <row r="19">
          <cell r="E19">
            <v>134.397081776752</v>
          </cell>
        </row>
        <row r="21">
          <cell r="E21">
            <v>1.3803508909186999</v>
          </cell>
        </row>
      </sheetData>
      <sheetData sheetId="9">
        <row r="12">
          <cell r="E12">
            <v>11.540877110544045</v>
          </cell>
        </row>
        <row r="33">
          <cell r="E33">
            <v>67339.856520849105</v>
          </cell>
        </row>
      </sheetData>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09PCR2016"/>
    </sheetNames>
    <sheetDataSet>
      <sheetData sheetId="0"/>
      <sheetData sheetId="1"/>
      <sheetData sheetId="2"/>
      <sheetData sheetId="3"/>
      <sheetData sheetId="4">
        <row r="25">
          <cell r="C25">
            <v>620603676</v>
          </cell>
        </row>
      </sheetData>
      <sheetData sheetId="5">
        <row r="68">
          <cell r="C68">
            <v>196742152</v>
          </cell>
        </row>
      </sheetData>
      <sheetData sheetId="6"/>
      <sheetData sheetId="7">
        <row r="13">
          <cell r="C13">
            <v>2736151761</v>
          </cell>
        </row>
        <row r="15">
          <cell r="C15">
            <v>-148874358</v>
          </cell>
        </row>
        <row r="16">
          <cell r="C16">
            <v>234618127</v>
          </cell>
        </row>
        <row r="18">
          <cell r="C18">
            <v>2861304978</v>
          </cell>
        </row>
      </sheetData>
      <sheetData sheetId="8">
        <row r="12">
          <cell r="D12">
            <v>10657</v>
          </cell>
        </row>
        <row r="58">
          <cell r="D58">
            <v>799540</v>
          </cell>
        </row>
        <row r="94">
          <cell r="D94">
            <v>2524</v>
          </cell>
        </row>
      </sheetData>
      <sheetData sheetId="9">
        <row r="13">
          <cell r="C13">
            <v>9591.1</v>
          </cell>
        </row>
        <row r="27">
          <cell r="C27">
            <v>68814.3</v>
          </cell>
        </row>
        <row r="41">
          <cell r="C41">
            <v>5860.8</v>
          </cell>
        </row>
        <row r="79">
          <cell r="C79">
            <v>7079</v>
          </cell>
        </row>
        <row r="83">
          <cell r="C83">
            <v>0</v>
          </cell>
        </row>
        <row r="86">
          <cell r="C86">
            <v>3337</v>
          </cell>
        </row>
      </sheetData>
      <sheetData sheetId="10">
        <row r="17">
          <cell r="D17">
            <v>129.69999999999999</v>
          </cell>
        </row>
        <row r="19">
          <cell r="D19">
            <v>1.3</v>
          </cell>
        </row>
      </sheetData>
      <sheetData sheetId="11">
        <row r="10">
          <cell r="D10">
            <v>11.8</v>
          </cell>
        </row>
        <row r="35">
          <cell r="D35">
            <v>67580.7</v>
          </cell>
        </row>
      </sheetData>
      <sheetData sheetId="12"/>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 val="3.3 Assets (RAB)"/>
    </sheetNames>
    <sheetDataSet>
      <sheetData sheetId="0"/>
      <sheetData sheetId="1">
        <row r="23">
          <cell r="E23"/>
        </row>
      </sheetData>
      <sheetData sheetId="2">
        <row r="20">
          <cell r="D20">
            <v>457278</v>
          </cell>
        </row>
      </sheetData>
      <sheetData sheetId="3">
        <row r="62">
          <cell r="D62">
            <v>112506.535</v>
          </cell>
          <cell r="E62">
            <v>108991.583</v>
          </cell>
          <cell r="F62">
            <v>126897.56800000001</v>
          </cell>
          <cell r="G62">
            <v>145514.894</v>
          </cell>
          <cell r="H62">
            <v>147956.514</v>
          </cell>
          <cell r="I62">
            <v>191519.79499999998</v>
          </cell>
          <cell r="J62">
            <v>203371.86000000002</v>
          </cell>
          <cell r="K62">
            <v>222412.64300000001</v>
          </cell>
        </row>
      </sheetData>
      <sheetData sheetId="4">
        <row r="8">
          <cell r="D8">
            <v>2497680.9018860045</v>
          </cell>
          <cell r="E8">
            <v>2574172.2582963654</v>
          </cell>
          <cell r="F8">
            <v>2597655.3215982122</v>
          </cell>
          <cell r="G8">
            <v>2655385.0031922739</v>
          </cell>
          <cell r="H8">
            <v>2706169.3553336705</v>
          </cell>
          <cell r="I8">
            <v>2723122.6196551505</v>
          </cell>
          <cell r="J8">
            <v>2909040.1003326164</v>
          </cell>
          <cell r="K8">
            <v>3092390.2859548749</v>
          </cell>
        </row>
        <row r="10">
          <cell r="D10">
            <v>-130295.08778208465</v>
          </cell>
          <cell r="E10">
            <v>-144004.82179874441</v>
          </cell>
          <cell r="F10">
            <v>-151833.95755610475</v>
          </cell>
          <cell r="G10">
            <v>-163422.26932208461</v>
          </cell>
          <cell r="H10">
            <v>-177952.34099040215</v>
          </cell>
          <cell r="I10">
            <v>-162869.21569505977</v>
          </cell>
          <cell r="J10">
            <v>-175375.96503988822</v>
          </cell>
          <cell r="K10">
            <v>-194921.96649557215</v>
          </cell>
        </row>
        <row r="12">
          <cell r="D12">
            <v>135926.14318107956</v>
          </cell>
          <cell r="E12">
            <v>110547.57237090237</v>
          </cell>
          <cell r="F12">
            <v>101717.47228543433</v>
          </cell>
          <cell r="G12">
            <v>152968.61188463194</v>
          </cell>
          <cell r="H12">
            <v>118018.31094273907</v>
          </cell>
          <cell r="I12">
            <v>260457.71313800931</v>
          </cell>
          <cell r="J12">
            <v>314244.31707689143</v>
          </cell>
          <cell r="K12">
            <v>323359.84993660392</v>
          </cell>
        </row>
        <row r="14">
          <cell r="D14">
            <v>2574172.2582963654</v>
          </cell>
          <cell r="E14">
            <v>2597655.3215982122</v>
          </cell>
          <cell r="F14">
            <v>2655385.0031922739</v>
          </cell>
          <cell r="G14">
            <v>2706169.3553336705</v>
          </cell>
          <cell r="H14">
            <v>2723122.6196551505</v>
          </cell>
          <cell r="I14">
            <v>2909040.1003326164</v>
          </cell>
          <cell r="J14">
            <v>3092390.2859548749</v>
          </cell>
          <cell r="K14">
            <v>3296253.9034986207</v>
          </cell>
        </row>
        <row r="58">
          <cell r="D58">
            <v>256902.56829344659</v>
          </cell>
          <cell r="E58">
            <v>267827.54325858766</v>
          </cell>
          <cell r="F58">
            <v>278410.48592920962</v>
          </cell>
          <cell r="G58">
            <v>292407.84097314207</v>
          </cell>
          <cell r="H58">
            <v>306447.54058536433</v>
          </cell>
          <cell r="I58">
            <v>333206.14354169508</v>
          </cell>
          <cell r="J58">
            <v>370787.18226221966</v>
          </cell>
          <cell r="K58">
            <v>417184.64770702267</v>
          </cell>
        </row>
        <row r="60">
          <cell r="D60">
            <v>-12102.240000889895</v>
          </cell>
          <cell r="E60">
            <v>-12777.809205888168</v>
          </cell>
          <cell r="F60">
            <v>-13408.991549497663</v>
          </cell>
          <cell r="G60">
            <v>-14378.81241990606</v>
          </cell>
          <cell r="H60">
            <v>-15219.225210381388</v>
          </cell>
          <cell r="I60">
            <v>-17134.614196378083</v>
          </cell>
          <cell r="J60">
            <v>-18368.818175941691</v>
          </cell>
          <cell r="K60">
            <v>-20098.4381850192</v>
          </cell>
        </row>
        <row r="62">
          <cell r="D62">
            <v>15364.0131882235</v>
          </cell>
          <cell r="E62">
            <v>16836.470301735833</v>
          </cell>
          <cell r="F62">
            <v>15597.378508367776</v>
          </cell>
          <cell r="G62">
            <v>21196.038360091767</v>
          </cell>
          <cell r="H62">
            <v>33121.494243795139</v>
          </cell>
          <cell r="I62">
            <v>43619.888336964235</v>
          </cell>
          <cell r="J62">
            <v>58907.846141001632</v>
          </cell>
          <cell r="K62">
            <v>44790.267333014512</v>
          </cell>
        </row>
        <row r="64">
          <cell r="D64">
            <v>267827.54325858766</v>
          </cell>
          <cell r="E64">
            <v>278410.48592920962</v>
          </cell>
          <cell r="F64">
            <v>292407.84097314207</v>
          </cell>
          <cell r="G64">
            <v>306447.54058536433</v>
          </cell>
          <cell r="H64">
            <v>333206.14354169508</v>
          </cell>
          <cell r="I64">
            <v>370787.18226221966</v>
          </cell>
          <cell r="J64">
            <v>417184.64770702267</v>
          </cell>
          <cell r="K64">
            <v>452316.07830805221</v>
          </cell>
        </row>
      </sheetData>
      <sheetData sheetId="5">
        <row r="6">
          <cell r="D6">
            <v>10954.5</v>
          </cell>
          <cell r="E6">
            <v>11258.599999999999</v>
          </cell>
          <cell r="F6">
            <v>11344.299999999997</v>
          </cell>
          <cell r="G6">
            <v>11266.700000000003</v>
          </cell>
          <cell r="H6">
            <v>11503.5</v>
          </cell>
          <cell r="I6">
            <v>11258.9</v>
          </cell>
          <cell r="J6">
            <v>11018.6</v>
          </cell>
          <cell r="K6">
            <v>11008.1</v>
          </cell>
        </row>
        <row r="47">
          <cell r="D47">
            <v>778839</v>
          </cell>
          <cell r="E47">
            <v>779426</v>
          </cell>
          <cell r="F47">
            <v>781110</v>
          </cell>
          <cell r="G47">
            <v>814467</v>
          </cell>
          <cell r="H47">
            <v>826964</v>
          </cell>
          <cell r="I47">
            <v>836055</v>
          </cell>
          <cell r="J47">
            <v>844153</v>
          </cell>
          <cell r="K47">
            <v>847766</v>
          </cell>
        </row>
        <row r="66">
          <cell r="D66">
            <v>2765.2886759999997</v>
          </cell>
          <cell r="E66">
            <v>2746.0278239999989</v>
          </cell>
          <cell r="F66">
            <v>2959.9079359999992</v>
          </cell>
          <cell r="G66">
            <v>3192.7919959999999</v>
          </cell>
          <cell r="H66">
            <v>3096.2725459999997</v>
          </cell>
          <cell r="I66">
            <v>3096.3392140000005</v>
          </cell>
          <cell r="J66">
            <v>2768.2162320000007</v>
          </cell>
          <cell r="K66">
            <v>2902.2357060000004</v>
          </cell>
        </row>
      </sheetData>
      <sheetData sheetId="6">
        <row r="9">
          <cell r="D9">
            <v>19448.765130423701</v>
          </cell>
        </row>
        <row r="17">
          <cell r="D17">
            <v>71068.558037262672</v>
          </cell>
          <cell r="E17">
            <v>71025.263198894114</v>
          </cell>
          <cell r="F17">
            <v>70981.968360525556</v>
          </cell>
          <cell r="G17">
            <v>71135.774468564356</v>
          </cell>
          <cell r="H17">
            <v>71323.338505389343</v>
          </cell>
          <cell r="I17">
            <v>71065.690537877366</v>
          </cell>
          <cell r="J17">
            <v>71147.812197102365</v>
          </cell>
          <cell r="K17">
            <v>71152.819999999992</v>
          </cell>
        </row>
        <row r="28">
          <cell r="D28">
            <v>13761.847656182401</v>
          </cell>
          <cell r="E28">
            <v>14300.857422668441</v>
          </cell>
          <cell r="F28">
            <v>14839.867189154475</v>
          </cell>
          <cell r="G28">
            <v>15488.943566456213</v>
          </cell>
          <cell r="H28">
            <v>15885.21237119121</v>
          </cell>
          <cell r="I28">
            <v>16127.990868133405</v>
          </cell>
          <cell r="J28">
            <v>16499.884838495418</v>
          </cell>
          <cell r="K28">
            <v>16729.450000000004</v>
          </cell>
        </row>
        <row r="53">
          <cell r="D53">
            <v>6580</v>
          </cell>
          <cell r="E53">
            <v>6970.1</v>
          </cell>
          <cell r="F53">
            <v>7240.6</v>
          </cell>
          <cell r="G53">
            <v>7445.2</v>
          </cell>
          <cell r="H53">
            <v>7750.4000000000005</v>
          </cell>
          <cell r="I53">
            <v>8049.8</v>
          </cell>
          <cell r="J53">
            <v>8346.7000000000007</v>
          </cell>
          <cell r="K53">
            <v>8498.0999999999985</v>
          </cell>
        </row>
        <row r="58">
          <cell r="D58">
            <v>310.8</v>
          </cell>
          <cell r="E58">
            <v>310.8</v>
          </cell>
          <cell r="F58">
            <v>310.8</v>
          </cell>
          <cell r="G58">
            <v>328.8</v>
          </cell>
          <cell r="H58">
            <v>346.3</v>
          </cell>
          <cell r="I58">
            <v>351.3</v>
          </cell>
          <cell r="J58">
            <v>351.3</v>
          </cell>
          <cell r="K58">
            <v>351.3</v>
          </cell>
        </row>
        <row r="61">
          <cell r="D61">
            <v>4532.1600000000017</v>
          </cell>
          <cell r="E61">
            <v>4699.9600000000019</v>
          </cell>
          <cell r="F61">
            <v>4677.9550000000017</v>
          </cell>
          <cell r="G61">
            <v>4825.6050000000014</v>
          </cell>
          <cell r="H61">
            <v>5089.3050000000012</v>
          </cell>
          <cell r="I61">
            <v>5143.8900000000021</v>
          </cell>
          <cell r="J61">
            <v>5396.2900000000018</v>
          </cell>
          <cell r="K61">
            <v>5559.6900000000014</v>
          </cell>
        </row>
      </sheetData>
      <sheetData sheetId="7">
        <row r="13">
          <cell r="D13">
            <v>156.4</v>
          </cell>
          <cell r="E13">
            <v>180.2</v>
          </cell>
          <cell r="F13">
            <v>129.6</v>
          </cell>
          <cell r="G13">
            <v>136.4</v>
          </cell>
          <cell r="H13">
            <v>180.6</v>
          </cell>
          <cell r="I13">
            <v>161.69999999999999</v>
          </cell>
          <cell r="J13">
            <v>130.1</v>
          </cell>
          <cell r="K13">
            <v>143.30000000000001</v>
          </cell>
        </row>
        <row r="15">
          <cell r="D15">
            <v>1.663</v>
          </cell>
          <cell r="E15">
            <v>1.736</v>
          </cell>
          <cell r="F15">
            <v>1.353</v>
          </cell>
          <cell r="G15">
            <v>1.3740000000000001</v>
          </cell>
          <cell r="H15">
            <v>1.649</v>
          </cell>
          <cell r="I15">
            <v>1.546</v>
          </cell>
          <cell r="J15">
            <v>1.3080000000000001</v>
          </cell>
          <cell r="K15">
            <v>1.3260000000000001</v>
          </cell>
        </row>
      </sheetData>
      <sheetData sheetId="8">
        <row r="6">
          <cell r="D6">
            <v>9.6104419102956822</v>
          </cell>
        </row>
        <row r="27">
          <cell r="D27">
            <v>81040.914379351118</v>
          </cell>
          <cell r="E27">
            <v>80991.544399345978</v>
          </cell>
          <cell r="F27">
            <v>80942.174419340823</v>
          </cell>
          <cell r="G27">
            <v>81117.562635689028</v>
          </cell>
          <cell r="H27">
            <v>81331.445701122968</v>
          </cell>
          <cell r="I27">
            <v>81037.644511795268</v>
          </cell>
          <cell r="J27">
            <v>81131.289501052743</v>
          </cell>
          <cell r="K27">
            <v>81137</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sheetData sheetId="2">
        <row r="26">
          <cell r="E26">
            <v>241614.01499999998</v>
          </cell>
        </row>
      </sheetData>
      <sheetData sheetId="3"/>
      <sheetData sheetId="4"/>
      <sheetData sheetId="5">
        <row r="13">
          <cell r="E13">
            <v>787964.78274074348</v>
          </cell>
        </row>
        <row r="15">
          <cell r="E15">
            <v>-45342.765346326341</v>
          </cell>
        </row>
        <row r="17">
          <cell r="E17">
            <v>85270.23563397507</v>
          </cell>
        </row>
        <row r="19">
          <cell r="E19">
            <v>847515.63599168463</v>
          </cell>
        </row>
      </sheetData>
      <sheetData sheetId="6">
        <row r="12">
          <cell r="E12">
            <v>2829.7719999999995</v>
          </cell>
        </row>
        <row r="54">
          <cell r="E54">
            <v>178710</v>
          </cell>
        </row>
        <row r="86">
          <cell r="E86">
            <v>669.9</v>
          </cell>
        </row>
      </sheetData>
      <sheetData sheetId="7">
        <row r="14">
          <cell r="E14">
            <v>1165.163</v>
          </cell>
        </row>
        <row r="28">
          <cell r="E28">
            <v>2365.2939799999999</v>
          </cell>
        </row>
        <row r="43">
          <cell r="E43">
            <v>2854.5207370618195</v>
          </cell>
        </row>
        <row r="78">
          <cell r="E78">
            <v>2100.0740000000001</v>
          </cell>
        </row>
        <row r="83">
          <cell r="E83">
            <v>0</v>
          </cell>
        </row>
        <row r="86">
          <cell r="E86">
            <v>1478</v>
          </cell>
        </row>
      </sheetData>
      <sheetData sheetId="8">
        <row r="19">
          <cell r="E19">
            <v>26.806000000000001</v>
          </cell>
        </row>
        <row r="21">
          <cell r="E21">
            <v>0.498</v>
          </cell>
        </row>
      </sheetData>
      <sheetData sheetId="9">
        <row r="12">
          <cell r="E12">
            <v>44.038935436175457</v>
          </cell>
        </row>
        <row r="33">
          <cell r="E33">
            <v>4058</v>
          </cell>
        </row>
      </sheetData>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849891</v>
          </cell>
        </row>
      </sheetData>
      <sheetData sheetId="3">
        <row r="201">
          <cell r="E201">
            <v>233849.701</v>
          </cell>
        </row>
        <row r="210">
          <cell r="E210">
            <v>233849.701</v>
          </cell>
        </row>
      </sheetData>
      <sheetData sheetId="4"/>
      <sheetData sheetId="5">
        <row r="13">
          <cell r="E13">
            <v>3296253.9034986207</v>
          </cell>
        </row>
        <row r="15">
          <cell r="E15">
            <v>-212850.37120522113</v>
          </cell>
        </row>
        <row r="17">
          <cell r="E17">
            <v>278951.92628526775</v>
          </cell>
        </row>
        <row r="19">
          <cell r="E19">
            <v>3456377.6979511771</v>
          </cell>
        </row>
        <row r="63">
          <cell r="E63">
            <v>452316.07830805221</v>
          </cell>
        </row>
        <row r="65">
          <cell r="E65">
            <v>-21396.582981822205</v>
          </cell>
        </row>
        <row r="67">
          <cell r="E67">
            <v>43475.734353227235</v>
          </cell>
        </row>
        <row r="69">
          <cell r="E69">
            <v>487685.38733362913</v>
          </cell>
        </row>
      </sheetData>
      <sheetData sheetId="6">
        <row r="12">
          <cell r="E12">
            <v>10603.245000000001</v>
          </cell>
        </row>
        <row r="54">
          <cell r="E54">
            <v>851766.5</v>
          </cell>
        </row>
        <row r="86">
          <cell r="E86">
            <v>3048.9762520000008</v>
          </cell>
        </row>
      </sheetData>
      <sheetData sheetId="7">
        <row r="14">
          <cell r="E14">
            <v>18957</v>
          </cell>
        </row>
        <row r="28">
          <cell r="E28">
            <v>71159.671999999991</v>
          </cell>
        </row>
        <row r="43">
          <cell r="E43">
            <v>16922.971000000001</v>
          </cell>
        </row>
        <row r="78">
          <cell r="E78">
            <v>8653.0889999999999</v>
          </cell>
        </row>
        <row r="83">
          <cell r="E83">
            <v>326.10000000000002</v>
          </cell>
        </row>
        <row r="86">
          <cell r="E86">
            <v>5689.590000000002</v>
          </cell>
        </row>
      </sheetData>
      <sheetData sheetId="8">
        <row r="19">
          <cell r="E19">
            <v>167.6</v>
          </cell>
        </row>
        <row r="21">
          <cell r="E21">
            <v>1.446</v>
          </cell>
        </row>
      </sheetData>
      <sheetData sheetId="9">
        <row r="12">
          <cell r="E12">
            <v>10.48934768419886</v>
          </cell>
        </row>
        <row r="33">
          <cell r="E33">
            <v>81203</v>
          </cell>
        </row>
      </sheetData>
      <sheetData sheetId="10"/>
      <sheetData sheetId="1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928118152</v>
          </cell>
        </row>
      </sheetData>
      <sheetData sheetId="3">
        <row r="201">
          <cell r="E201">
            <v>248377486.88966605</v>
          </cell>
        </row>
      </sheetData>
      <sheetData sheetId="4"/>
      <sheetData sheetId="5">
        <row r="13">
          <cell r="E13">
            <v>3456377697.9511766</v>
          </cell>
        </row>
        <row r="15">
          <cell r="E15">
            <v>-232846835.39084432</v>
          </cell>
        </row>
        <row r="17">
          <cell r="E17">
            <v>305232975.06277025</v>
          </cell>
        </row>
        <row r="19">
          <cell r="E19">
            <v>3572345661.0058532</v>
          </cell>
        </row>
        <row r="63">
          <cell r="E63">
            <v>487685387.33362913</v>
          </cell>
        </row>
        <row r="65">
          <cell r="E65">
            <v>-22948635.012444239</v>
          </cell>
        </row>
        <row r="67">
          <cell r="E67">
            <v>38017534.063145027</v>
          </cell>
        </row>
        <row r="69">
          <cell r="E69">
            <v>509264108.41311044</v>
          </cell>
        </row>
      </sheetData>
      <sheetData sheetId="6">
        <row r="12">
          <cell r="E12">
            <v>10342.495546872093</v>
          </cell>
        </row>
        <row r="54">
          <cell r="E54">
            <v>853939</v>
          </cell>
        </row>
        <row r="86">
          <cell r="E86">
            <v>2746.4357560000008</v>
          </cell>
        </row>
      </sheetData>
      <sheetData sheetId="7">
        <row r="14">
          <cell r="E14">
            <v>18932</v>
          </cell>
        </row>
        <row r="28">
          <cell r="E28">
            <v>71230</v>
          </cell>
        </row>
        <row r="43">
          <cell r="E43">
            <v>16971</v>
          </cell>
        </row>
        <row r="78">
          <cell r="E78">
            <v>8852.7000000000007</v>
          </cell>
        </row>
        <row r="83">
          <cell r="E83">
            <v>301.10000000000002</v>
          </cell>
        </row>
        <row r="86">
          <cell r="E86">
            <v>5757.4550000000027</v>
          </cell>
        </row>
      </sheetData>
      <sheetData sheetId="8">
        <row r="19">
          <cell r="E19">
            <v>123.7</v>
          </cell>
        </row>
        <row r="21">
          <cell r="E21">
            <v>1.123</v>
          </cell>
        </row>
      </sheetData>
      <sheetData sheetId="9">
        <row r="12">
          <cell r="E12">
            <v>10.513150927640705</v>
          </cell>
        </row>
        <row r="33">
          <cell r="E33">
            <v>81225.790999999997</v>
          </cell>
        </row>
      </sheetData>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10SAP2016"/>
    </sheetNames>
    <sheetDataSet>
      <sheetData sheetId="0"/>
      <sheetData sheetId="1"/>
      <sheetData sheetId="2"/>
      <sheetData sheetId="3"/>
      <sheetData sheetId="4">
        <row r="25">
          <cell r="C25">
            <v>679011681.46343362</v>
          </cell>
        </row>
      </sheetData>
      <sheetData sheetId="5">
        <row r="68">
          <cell r="C68">
            <v>211867163.09531</v>
          </cell>
        </row>
      </sheetData>
      <sheetData sheetId="6"/>
      <sheetData sheetId="7">
        <row r="13">
          <cell r="C13">
            <v>3572345661.0058537</v>
          </cell>
        </row>
        <row r="15">
          <cell r="C15">
            <v>-196888133.69932398</v>
          </cell>
        </row>
        <row r="16">
          <cell r="C16">
            <v>236435436.05879238</v>
          </cell>
        </row>
        <row r="18">
          <cell r="C18">
            <v>3670172554.2308435</v>
          </cell>
        </row>
        <row r="61">
          <cell r="C61">
            <v>509264108.41311044</v>
          </cell>
        </row>
        <row r="63">
          <cell r="C63">
            <v>-17550050.350000001</v>
          </cell>
        </row>
        <row r="66">
          <cell r="C66">
            <v>493546218.30279768</v>
          </cell>
        </row>
      </sheetData>
      <sheetData sheetId="8">
        <row r="12">
          <cell r="D12">
            <v>10355.11590956942</v>
          </cell>
        </row>
        <row r="58">
          <cell r="D58">
            <v>858646.5</v>
          </cell>
        </row>
        <row r="94">
          <cell r="D94">
            <v>2775.961812</v>
          </cell>
        </row>
      </sheetData>
      <sheetData sheetId="9">
        <row r="13">
          <cell r="C13">
            <v>18909</v>
          </cell>
        </row>
        <row r="27">
          <cell r="C27">
            <v>71322</v>
          </cell>
        </row>
        <row r="41">
          <cell r="C41">
            <v>17486</v>
          </cell>
        </row>
        <row r="79">
          <cell r="C79">
            <v>8931.3652000000002</v>
          </cell>
        </row>
        <row r="83">
          <cell r="C83">
            <v>304.60000000000002</v>
          </cell>
        </row>
        <row r="86">
          <cell r="C86">
            <v>5805.5</v>
          </cell>
        </row>
      </sheetData>
      <sheetData sheetId="10">
        <row r="17">
          <cell r="D17">
            <v>138.97</v>
          </cell>
        </row>
        <row r="19">
          <cell r="D19">
            <v>1.2010000000000001</v>
          </cell>
        </row>
      </sheetData>
      <sheetData sheetId="11">
        <row r="10">
          <cell r="D10">
            <v>10.498160476863145</v>
          </cell>
        </row>
        <row r="35">
          <cell r="D35">
            <v>81790.186184748047</v>
          </cell>
        </row>
      </sheetData>
      <sheetData sheetId="12"/>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
      <sheetName val="4. Assets (RAB)"/>
      <sheetName val="5. Operational data"/>
      <sheetName val="6. Physical Assets"/>
      <sheetName val="7. Quality of services"/>
      <sheetName val="8. Operating environment"/>
    </sheetNames>
    <sheetDataSet>
      <sheetData sheetId="0"/>
      <sheetData sheetId="1"/>
      <sheetData sheetId="2">
        <row r="20">
          <cell r="D20">
            <v>303689.38400000002</v>
          </cell>
        </row>
      </sheetData>
      <sheetData sheetId="3">
        <row r="76">
          <cell r="D76">
            <v>82540.040999999997</v>
          </cell>
          <cell r="E76">
            <v>104522.864</v>
          </cell>
          <cell r="F76">
            <v>117354.963</v>
          </cell>
          <cell r="G76">
            <v>139244.32199999999</v>
          </cell>
          <cell r="H76">
            <v>139237.07999999999</v>
          </cell>
          <cell r="I76">
            <v>145236.239</v>
          </cell>
          <cell r="J76">
            <v>158632.40400000001</v>
          </cell>
          <cell r="K76">
            <v>181028.39600000001</v>
          </cell>
        </row>
      </sheetData>
      <sheetData sheetId="4">
        <row r="8">
          <cell r="D8">
            <v>1264717.1873971468</v>
          </cell>
          <cell r="E8">
            <v>1365589.4550493823</v>
          </cell>
          <cell r="F8">
            <v>1481845.5596482116</v>
          </cell>
          <cell r="G8">
            <v>1624751.2993556557</v>
          </cell>
          <cell r="H8">
            <v>1858761.6668045539</v>
          </cell>
          <cell r="I8">
            <v>2077259.1923929194</v>
          </cell>
          <cell r="J8">
            <v>2276705.5632902901</v>
          </cell>
          <cell r="K8">
            <v>2562318.0069176252</v>
          </cell>
        </row>
        <row r="10">
          <cell r="D10">
            <v>-56565.419646917799</v>
          </cell>
          <cell r="E10">
            <v>-66700.723362476376</v>
          </cell>
          <cell r="F10">
            <v>-73552.324646312627</v>
          </cell>
          <cell r="G10">
            <v>-82384.991379396903</v>
          </cell>
          <cell r="H10">
            <v>-88913.31548786597</v>
          </cell>
          <cell r="I10">
            <v>-130732.86402114748</v>
          </cell>
          <cell r="J10">
            <v>-112282.34545229192</v>
          </cell>
          <cell r="K10">
            <v>-129504.23772903973</v>
          </cell>
        </row>
        <row r="12">
          <cell r="D12">
            <v>119200.64036278825</v>
          </cell>
          <cell r="E12">
            <v>129699.66114978181</v>
          </cell>
          <cell r="F12">
            <v>188932.85804046306</v>
          </cell>
          <cell r="G12">
            <v>235768.12386669559</v>
          </cell>
          <cell r="H12">
            <v>256945.31134785031</v>
          </cell>
          <cell r="I12">
            <v>272384.9291057259</v>
          </cell>
          <cell r="J12">
            <v>322240.39599040191</v>
          </cell>
          <cell r="K12">
            <v>379421.11617340584</v>
          </cell>
        </row>
        <row r="14">
          <cell r="D14">
            <v>1365589.4550493823</v>
          </cell>
          <cell r="E14">
            <v>1481845.5596482116</v>
          </cell>
          <cell r="F14">
            <v>1624751.2993556557</v>
          </cell>
          <cell r="G14">
            <v>1858761.6668045539</v>
          </cell>
          <cell r="H14">
            <v>2077259.1923929194</v>
          </cell>
          <cell r="I14">
            <v>2276705.5632902901</v>
          </cell>
          <cell r="J14">
            <v>2562318.0069176252</v>
          </cell>
          <cell r="K14">
            <v>2857947.8644268536</v>
          </cell>
        </row>
      </sheetData>
      <sheetData sheetId="5">
        <row r="6">
          <cell r="D6">
            <v>7397.9030000000002</v>
          </cell>
          <cell r="E6">
            <v>7499.9520000000002</v>
          </cell>
          <cell r="F6">
            <v>7885.8140000000003</v>
          </cell>
          <cell r="G6">
            <v>7750.0280000000002</v>
          </cell>
          <cell r="H6">
            <v>7909.0959999999995</v>
          </cell>
          <cell r="I6">
            <v>7629.5309999999999</v>
          </cell>
          <cell r="J6">
            <v>7594.7430000000004</v>
          </cell>
          <cell r="K6">
            <v>7501</v>
          </cell>
        </row>
        <row r="47">
          <cell r="D47">
            <v>605408</v>
          </cell>
          <cell r="E47">
            <v>616585.5</v>
          </cell>
          <cell r="F47">
            <v>627552.50000000012</v>
          </cell>
          <cell r="G47">
            <v>638613.50000000023</v>
          </cell>
          <cell r="H47">
            <v>645694.5</v>
          </cell>
          <cell r="I47">
            <v>654640.99999999988</v>
          </cell>
          <cell r="J47">
            <v>668703</v>
          </cell>
          <cell r="K47">
            <v>681299.00000000012</v>
          </cell>
        </row>
        <row r="66">
          <cell r="D66">
            <v>1616.768</v>
          </cell>
          <cell r="E66">
            <v>1689.1969999999999</v>
          </cell>
          <cell r="F66">
            <v>1801.394</v>
          </cell>
          <cell r="G66">
            <v>1930.9923280742942</v>
          </cell>
          <cell r="H66">
            <v>1937.7042640000002</v>
          </cell>
          <cell r="I66">
            <v>1838.4723519999998</v>
          </cell>
          <cell r="J66">
            <v>1793.2554840000003</v>
          </cell>
          <cell r="K66">
            <v>1881.4148680000001</v>
          </cell>
        </row>
      </sheetData>
      <sheetData sheetId="6">
        <row r="9">
          <cell r="D9">
            <v>6708.3280000000004</v>
          </cell>
        </row>
        <row r="17">
          <cell r="D17">
            <v>37642.311999999998</v>
          </cell>
          <cell r="E17">
            <v>37724.491999999998</v>
          </cell>
          <cell r="F17">
            <v>37820.120999999999</v>
          </cell>
          <cell r="G17">
            <v>38099.014999999999</v>
          </cell>
          <cell r="H17">
            <v>38175.800999999999</v>
          </cell>
          <cell r="I17">
            <v>38144.855000000003</v>
          </cell>
          <cell r="J17">
            <v>38379.735999999997</v>
          </cell>
          <cell r="K17">
            <v>38319.654999999999</v>
          </cell>
        </row>
        <row r="28">
          <cell r="D28">
            <v>3864.76</v>
          </cell>
          <cell r="E28">
            <v>4111.4009999999998</v>
          </cell>
          <cell r="F28">
            <v>4290.7219999999998</v>
          </cell>
          <cell r="G28">
            <v>4612.5159999999996</v>
          </cell>
          <cell r="H28">
            <v>4792.9139999999998</v>
          </cell>
          <cell r="I28">
            <v>5069.076</v>
          </cell>
          <cell r="J28">
            <v>5322.3940000000002</v>
          </cell>
          <cell r="K28">
            <v>5502.2719999999999</v>
          </cell>
        </row>
        <row r="53">
          <cell r="D53">
            <v>3924.4810000000002</v>
          </cell>
          <cell r="E53">
            <v>4307.33</v>
          </cell>
          <cell r="F53">
            <v>4336.7079999999996</v>
          </cell>
          <cell r="G53">
            <v>4973.5190000000002</v>
          </cell>
          <cell r="H53">
            <v>4715.4440000000004</v>
          </cell>
          <cell r="I53">
            <v>5047.7969999999996</v>
          </cell>
          <cell r="J53">
            <v>5031.8050000000003</v>
          </cell>
          <cell r="K53">
            <v>5139.9849999999997</v>
          </cell>
        </row>
        <row r="58">
          <cell r="D58">
            <v>0</v>
          </cell>
          <cell r="E58">
            <v>0</v>
          </cell>
          <cell r="F58">
            <v>0</v>
          </cell>
          <cell r="G58">
            <v>0</v>
          </cell>
          <cell r="H58">
            <v>0</v>
          </cell>
          <cell r="I58">
            <v>0</v>
          </cell>
          <cell r="J58">
            <v>0</v>
          </cell>
          <cell r="K58">
            <v>0</v>
          </cell>
        </row>
        <row r="61">
          <cell r="D61">
            <v>2700.75</v>
          </cell>
          <cell r="E61">
            <v>2738.75</v>
          </cell>
          <cell r="F61">
            <v>2816.75</v>
          </cell>
          <cell r="G61">
            <v>2965.25</v>
          </cell>
          <cell r="H61">
            <v>3130.25</v>
          </cell>
          <cell r="I61">
            <v>3163.25</v>
          </cell>
          <cell r="J61">
            <v>3249.25</v>
          </cell>
          <cell r="K61">
            <v>3334.75</v>
          </cell>
        </row>
      </sheetData>
      <sheetData sheetId="7">
        <row r="13">
          <cell r="D13">
            <v>189.54499999999999</v>
          </cell>
          <cell r="E13">
            <v>177.20099999999999</v>
          </cell>
          <cell r="F13">
            <v>132.11000000000001</v>
          </cell>
          <cell r="G13">
            <v>178.12799999999999</v>
          </cell>
          <cell r="H13">
            <v>129.86500000000001</v>
          </cell>
          <cell r="I13">
            <v>145.46899999999999</v>
          </cell>
          <cell r="J13">
            <v>125.602</v>
          </cell>
          <cell r="K13">
            <v>133.12319361918364</v>
          </cell>
        </row>
        <row r="15">
          <cell r="D15">
            <v>2.4910000000000001</v>
          </cell>
          <cell r="E15">
            <v>2.327</v>
          </cell>
          <cell r="F15">
            <v>1.956</v>
          </cell>
          <cell r="G15">
            <v>2.1840000000000002</v>
          </cell>
          <cell r="H15">
            <v>1.91</v>
          </cell>
          <cell r="I15">
            <v>1.9410000000000001</v>
          </cell>
          <cell r="J15">
            <v>1.655</v>
          </cell>
          <cell r="K15">
            <v>1.8993122083398335</v>
          </cell>
        </row>
      </sheetData>
      <sheetData sheetId="8">
        <row r="6">
          <cell r="D6">
            <v>18.637</v>
          </cell>
        </row>
        <row r="27">
          <cell r="D27">
            <v>35052.744983445111</v>
          </cell>
          <cell r="E27">
            <v>35474.049102024757</v>
          </cell>
          <cell r="F27">
            <v>35808.446924356896</v>
          </cell>
          <cell r="G27">
            <v>36492.484945668111</v>
          </cell>
          <cell r="H27">
            <v>36813.688788960724</v>
          </cell>
          <cell r="I27">
            <v>37189.18932794327</v>
          </cell>
          <cell r="J27">
            <v>37739.672510546159</v>
          </cell>
          <cell r="K27">
            <v>37953.007642697215</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581638.63787298906</v>
          </cell>
        </row>
      </sheetData>
      <sheetData sheetId="3">
        <row r="210">
          <cell r="E210">
            <v>191268.03270719171</v>
          </cell>
        </row>
      </sheetData>
      <sheetData sheetId="4"/>
      <sheetData sheetId="5">
        <row r="13">
          <cell r="E13">
            <v>2857947.8644268545</v>
          </cell>
        </row>
        <row r="15">
          <cell r="E15">
            <v>-130471.88508236363</v>
          </cell>
        </row>
        <row r="17">
          <cell r="E17">
            <v>401205.41757601238</v>
          </cell>
        </row>
        <row r="19">
          <cell r="E19">
            <v>3189897.2478334606</v>
          </cell>
        </row>
      </sheetData>
      <sheetData sheetId="6">
        <row r="12">
          <cell r="E12">
            <v>7447.6489589325638</v>
          </cell>
        </row>
        <row r="54">
          <cell r="E54">
            <v>685194.00000000012</v>
          </cell>
        </row>
        <row r="86">
          <cell r="E86">
            <v>1942.955156</v>
          </cell>
        </row>
      </sheetData>
      <sheetData sheetId="7">
        <row r="14">
          <cell r="E14">
            <v>6690.3850000000002</v>
          </cell>
        </row>
        <row r="28">
          <cell r="E28">
            <v>38526.894499999995</v>
          </cell>
        </row>
        <row r="43">
          <cell r="E43">
            <v>5728.1507942210001</v>
          </cell>
        </row>
        <row r="78">
          <cell r="E78">
            <v>5256.2330000000002</v>
          </cell>
        </row>
        <row r="83">
          <cell r="E83">
            <v>0</v>
          </cell>
        </row>
        <row r="86">
          <cell r="E86">
            <v>3214</v>
          </cell>
        </row>
      </sheetData>
      <sheetData sheetId="8">
        <row r="19">
          <cell r="E19">
            <v>157.29265598174266</v>
          </cell>
        </row>
        <row r="21">
          <cell r="E21">
            <v>1.8036305870244551</v>
          </cell>
        </row>
      </sheetData>
      <sheetData sheetId="9">
        <row r="12">
          <cell r="E12">
            <v>19.77352442997546</v>
          </cell>
        </row>
        <row r="33">
          <cell r="E33">
            <v>38460.334063763054</v>
          </cell>
        </row>
      </sheetData>
      <sheetData sheetId="10"/>
      <sheetData sheetId="1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653340825.72011483</v>
          </cell>
        </row>
      </sheetData>
      <sheetData sheetId="3">
        <row r="210">
          <cell r="E210">
            <v>206141485.58197233</v>
          </cell>
        </row>
      </sheetData>
      <sheetData sheetId="4"/>
      <sheetData sheetId="5">
        <row r="13">
          <cell r="E13">
            <v>3196930336.3886833</v>
          </cell>
        </row>
        <row r="15">
          <cell r="E15">
            <v>-134583413.61783019</v>
          </cell>
        </row>
        <row r="17">
          <cell r="E17">
            <v>321695070.50537318</v>
          </cell>
        </row>
        <row r="19">
          <cell r="E19">
            <v>3457718130.7313499</v>
          </cell>
        </row>
      </sheetData>
      <sheetData sheetId="6">
        <row r="12">
          <cell r="E12">
            <v>7686.2809510714469</v>
          </cell>
        </row>
        <row r="54">
          <cell r="E54">
            <v>706424</v>
          </cell>
        </row>
        <row r="86">
          <cell r="E86">
            <v>1816.759</v>
          </cell>
        </row>
      </sheetData>
      <sheetData sheetId="7">
        <row r="14">
          <cell r="E14">
            <v>6672.0297429999673</v>
          </cell>
        </row>
        <row r="28">
          <cell r="E28">
            <v>38383.26915600057</v>
          </cell>
        </row>
        <row r="43">
          <cell r="E43">
            <v>5965.934825000103</v>
          </cell>
        </row>
        <row r="78">
          <cell r="E78">
            <v>5253.4840000000004</v>
          </cell>
        </row>
        <row r="83">
          <cell r="E83">
            <v>0</v>
          </cell>
        </row>
        <row r="86">
          <cell r="E86">
            <v>3445.5</v>
          </cell>
        </row>
      </sheetData>
      <sheetData sheetId="8">
        <row r="19">
          <cell r="E19">
            <v>136.76303017287816</v>
          </cell>
        </row>
        <row r="21">
          <cell r="E21">
            <v>1.7261785833911745</v>
          </cell>
        </row>
      </sheetData>
      <sheetData sheetId="9">
        <row r="12">
          <cell r="E12">
            <v>18.307569427083916</v>
          </cell>
        </row>
        <row r="33">
          <cell r="E33">
            <v>38586.474786906576</v>
          </cell>
        </row>
      </sheetData>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11AND2016"/>
    </sheetNames>
    <sheetDataSet>
      <sheetData sheetId="0"/>
      <sheetData sheetId="1"/>
      <sheetData sheetId="2"/>
      <sheetData sheetId="3"/>
      <sheetData sheetId="4">
        <row r="25">
          <cell r="C25">
            <v>587230409.89595795</v>
          </cell>
        </row>
      </sheetData>
      <sheetData sheetId="5">
        <row r="68">
          <cell r="C68">
            <v>211317824.36007363</v>
          </cell>
        </row>
      </sheetData>
      <sheetData sheetId="6"/>
      <sheetData sheetId="7">
        <row r="13">
          <cell r="C13">
            <v>3440511510.8184352</v>
          </cell>
        </row>
        <row r="15">
          <cell r="C15">
            <v>-182299032.57606319</v>
          </cell>
        </row>
        <row r="16">
          <cell r="C16">
            <v>291506767.81074089</v>
          </cell>
        </row>
        <row r="18">
          <cell r="C18">
            <v>3597849770.2533898</v>
          </cell>
        </row>
      </sheetData>
      <sheetData sheetId="8">
        <row r="12">
          <cell r="D12">
            <v>7559.85433376131</v>
          </cell>
        </row>
        <row r="58">
          <cell r="D58">
            <v>712767</v>
          </cell>
        </row>
        <row r="94">
          <cell r="D94">
            <v>1951.7954540000003</v>
          </cell>
        </row>
      </sheetData>
      <sheetData sheetId="9">
        <row r="13">
          <cell r="C13">
            <v>6660.96</v>
          </cell>
        </row>
        <row r="27">
          <cell r="C27">
            <v>38436.254718999997</v>
          </cell>
        </row>
        <row r="41">
          <cell r="C41">
            <v>6267.051337999952</v>
          </cell>
        </row>
        <row r="79">
          <cell r="C79">
            <v>5473.1900000000005</v>
          </cell>
        </row>
        <row r="83">
          <cell r="C83">
            <v>0</v>
          </cell>
        </row>
        <row r="86">
          <cell r="C86">
            <v>3488.5</v>
          </cell>
        </row>
      </sheetData>
      <sheetData sheetId="10">
        <row r="17">
          <cell r="D17">
            <v>171.37333447924698</v>
          </cell>
        </row>
        <row r="19">
          <cell r="D19">
            <v>1.6889534883720929</v>
          </cell>
        </row>
      </sheetData>
      <sheetData sheetId="11">
        <row r="10">
          <cell r="D10">
            <v>18.364623093413218</v>
          </cell>
        </row>
        <row r="35">
          <cell r="D35">
            <v>38811.95907884687</v>
          </cell>
        </row>
      </sheetData>
      <sheetData sheetId="12"/>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5a. Operational data"/>
      <sheetName val="6. Physical Assets"/>
      <sheetName val="7. Quality of services"/>
      <sheetName val="8. Operating environment"/>
    </sheetNames>
    <sheetDataSet>
      <sheetData sheetId="0"/>
      <sheetData sheetId="1"/>
      <sheetData sheetId="2">
        <row r="20">
          <cell r="D20">
            <v>203698.83572450493</v>
          </cell>
        </row>
      </sheetData>
      <sheetData sheetId="3">
        <row r="191">
          <cell r="D191">
            <v>48648.823897879513</v>
          </cell>
          <cell r="E191">
            <v>50748.109417397798</v>
          </cell>
          <cell r="F191">
            <v>53289.023029777622</v>
          </cell>
          <cell r="G191">
            <v>61973.7059213752</v>
          </cell>
          <cell r="H191">
            <v>75037.978098049221</v>
          </cell>
          <cell r="I191">
            <v>74900.179665433359</v>
          </cell>
          <cell r="J191">
            <v>84369.77778940904</v>
          </cell>
          <cell r="K191">
            <v>70674.636040854952</v>
          </cell>
        </row>
      </sheetData>
      <sheetData sheetId="4">
        <row r="9">
          <cell r="D9">
            <v>744355.86750215385</v>
          </cell>
          <cell r="E9">
            <v>821591.92470156227</v>
          </cell>
          <cell r="F9">
            <v>873953.15944513422</v>
          </cell>
          <cell r="G9">
            <v>946076.7774646132</v>
          </cell>
          <cell r="H9">
            <v>1050237.7285714087</v>
          </cell>
          <cell r="I9">
            <v>1152146.6045872953</v>
          </cell>
          <cell r="J9">
            <v>1251526.1611447823</v>
          </cell>
          <cell r="K9">
            <v>1334192.2607127009</v>
          </cell>
        </row>
        <row r="11">
          <cell r="D11">
            <v>-43002.780182764465</v>
          </cell>
          <cell r="E11">
            <v>-50615.401205290553</v>
          </cell>
          <cell r="F11">
            <v>-51565.886646444778</v>
          </cell>
          <cell r="G11">
            <v>-45703.966411886177</v>
          </cell>
          <cell r="H11">
            <v>-53533.931814740274</v>
          </cell>
          <cell r="I11">
            <v>-61151.18369106482</v>
          </cell>
          <cell r="J11">
            <v>-67071.747018849259</v>
          </cell>
          <cell r="K11">
            <v>-69759.442766199165</v>
          </cell>
        </row>
        <row r="13">
          <cell r="D13">
            <v>101629.94069461888</v>
          </cell>
          <cell r="E13">
            <v>85969.683107540535</v>
          </cell>
          <cell r="F13">
            <v>97820.491146347733</v>
          </cell>
          <cell r="G13">
            <v>114954.68443023754</v>
          </cell>
          <cell r="H13">
            <v>133282.7917577702</v>
          </cell>
          <cell r="I13">
            <v>129998.85522698844</v>
          </cell>
          <cell r="J13">
            <v>104682.90478555571</v>
          </cell>
          <cell r="K13">
            <v>84657.268206771842</v>
          </cell>
        </row>
        <row r="15">
          <cell r="D15">
            <v>821591.92470156227</v>
          </cell>
          <cell r="E15">
            <v>873953.15944513422</v>
          </cell>
          <cell r="F15">
            <v>946076.7774646132</v>
          </cell>
          <cell r="G15">
            <v>1050237.7285714098</v>
          </cell>
          <cell r="H15">
            <v>1152146.6045873</v>
          </cell>
          <cell r="I15">
            <v>1251526.1611447823</v>
          </cell>
          <cell r="J15">
            <v>1334192.2607127009</v>
          </cell>
          <cell r="K15">
            <v>1370837.420002891</v>
          </cell>
        </row>
      </sheetData>
      <sheetData sheetId="5">
        <row r="6">
          <cell r="D6">
            <v>4448.6720436592732</v>
          </cell>
          <cell r="E6">
            <v>4417.0736412828728</v>
          </cell>
          <cell r="F6">
            <v>4441.0496229999999</v>
          </cell>
          <cell r="G6">
            <v>4586.0503100572932</v>
          </cell>
          <cell r="H6">
            <v>4545.2267016629203</v>
          </cell>
          <cell r="I6">
            <v>4444.8157984202126</v>
          </cell>
          <cell r="J6">
            <v>4317.9943187364997</v>
          </cell>
          <cell r="K6">
            <v>4247.6620063958999</v>
          </cell>
        </row>
        <row r="47">
          <cell r="D47">
            <v>250642.52420131132</v>
          </cell>
          <cell r="E47">
            <v>255484.38545676047</v>
          </cell>
          <cell r="F47">
            <v>260424.25945125124</v>
          </cell>
          <cell r="G47">
            <v>265464.13023523602</v>
          </cell>
          <cell r="H47">
            <v>270606.02202186675</v>
          </cell>
          <cell r="I47">
            <v>275852</v>
          </cell>
          <cell r="J47">
            <v>278392</v>
          </cell>
          <cell r="K47">
            <v>279868</v>
          </cell>
        </row>
        <row r="66">
          <cell r="D66">
            <v>1063</v>
          </cell>
          <cell r="E66">
            <v>1148</v>
          </cell>
          <cell r="F66">
            <v>1154</v>
          </cell>
          <cell r="G66">
            <v>1134</v>
          </cell>
          <cell r="H66">
            <v>1111</v>
          </cell>
          <cell r="I66">
            <v>1082</v>
          </cell>
          <cell r="J66">
            <v>1042</v>
          </cell>
          <cell r="K66">
            <v>1022</v>
          </cell>
        </row>
      </sheetData>
      <sheetData sheetId="6"/>
      <sheetData sheetId="7">
        <row r="9">
          <cell r="D9">
            <v>4714</v>
          </cell>
        </row>
        <row r="19">
          <cell r="D19">
            <v>19307.599999999995</v>
          </cell>
          <cell r="E19">
            <v>19307.599999999995</v>
          </cell>
          <cell r="F19">
            <v>19307.599999999995</v>
          </cell>
          <cell r="G19">
            <v>19337.199999999997</v>
          </cell>
          <cell r="H19">
            <v>19536.499999999996</v>
          </cell>
          <cell r="I19">
            <v>19752.199999999997</v>
          </cell>
          <cell r="J19">
            <v>19882.799999999996</v>
          </cell>
          <cell r="K19">
            <v>19962.199999999997</v>
          </cell>
        </row>
        <row r="30">
          <cell r="D30">
            <v>1902.3</v>
          </cell>
          <cell r="E30">
            <v>1902.5</v>
          </cell>
          <cell r="F30">
            <v>1902.5</v>
          </cell>
          <cell r="G30">
            <v>1930.6</v>
          </cell>
          <cell r="H30">
            <v>2095.2000000000003</v>
          </cell>
          <cell r="I30">
            <v>2274.9</v>
          </cell>
          <cell r="J30">
            <v>2339.3000000000002</v>
          </cell>
          <cell r="K30">
            <v>2373.6999999999998</v>
          </cell>
        </row>
        <row r="57">
          <cell r="D57">
            <v>1194.895</v>
          </cell>
          <cell r="E57">
            <v>2155.2800000000002</v>
          </cell>
          <cell r="F57">
            <v>2609.0480000000002</v>
          </cell>
          <cell r="G57">
            <v>3132.6779999999999</v>
          </cell>
          <cell r="H57">
            <v>3220.1959999999999</v>
          </cell>
          <cell r="I57">
            <v>3305.8050000000003</v>
          </cell>
          <cell r="J57">
            <v>3414.6370000000002</v>
          </cell>
          <cell r="K57">
            <v>3445.922</v>
          </cell>
        </row>
        <row r="63">
          <cell r="D63">
            <v>0</v>
          </cell>
          <cell r="E63">
            <v>0</v>
          </cell>
          <cell r="F63">
            <v>0</v>
          </cell>
          <cell r="G63">
            <v>0</v>
          </cell>
          <cell r="H63">
            <v>0</v>
          </cell>
          <cell r="I63">
            <v>0</v>
          </cell>
          <cell r="J63">
            <v>0</v>
          </cell>
          <cell r="K63">
            <v>0</v>
          </cell>
        </row>
        <row r="65">
          <cell r="D65">
            <v>495</v>
          </cell>
          <cell r="E65">
            <v>495</v>
          </cell>
          <cell r="F65">
            <v>535</v>
          </cell>
          <cell r="G65">
            <v>575</v>
          </cell>
          <cell r="H65">
            <v>575</v>
          </cell>
          <cell r="I65">
            <v>675</v>
          </cell>
          <cell r="J65">
            <v>675</v>
          </cell>
          <cell r="K65">
            <v>675</v>
          </cell>
        </row>
      </sheetData>
      <sheetData sheetId="8">
        <row r="13">
          <cell r="D13">
            <v>132</v>
          </cell>
          <cell r="E13">
            <v>173</v>
          </cell>
          <cell r="F13">
            <v>175</v>
          </cell>
          <cell r="G13">
            <v>201</v>
          </cell>
          <cell r="H13">
            <v>205</v>
          </cell>
          <cell r="I13">
            <v>139</v>
          </cell>
          <cell r="J13">
            <v>160</v>
          </cell>
          <cell r="K13">
            <v>137</v>
          </cell>
        </row>
        <row r="15">
          <cell r="D15">
            <v>2.04</v>
          </cell>
          <cell r="E15">
            <v>1.77</v>
          </cell>
          <cell r="F15">
            <v>1.77</v>
          </cell>
          <cell r="G15">
            <v>1.72</v>
          </cell>
          <cell r="H15">
            <v>1.84</v>
          </cell>
          <cell r="I15">
            <v>1.45</v>
          </cell>
          <cell r="J15">
            <v>1.73</v>
          </cell>
          <cell r="K15">
            <v>1.46</v>
          </cell>
        </row>
      </sheetData>
      <sheetData sheetId="9">
        <row r="6">
          <cell r="D6">
            <v>12.11</v>
          </cell>
        </row>
        <row r="27">
          <cell r="D27">
            <v>20126</v>
          </cell>
          <cell r="E27">
            <v>20126</v>
          </cell>
          <cell r="F27">
            <v>20126</v>
          </cell>
          <cell r="G27">
            <v>20126</v>
          </cell>
          <cell r="H27">
            <v>20127</v>
          </cell>
          <cell r="I27">
            <v>20189</v>
          </cell>
          <cell r="J27">
            <v>20250</v>
          </cell>
          <cell r="K27">
            <v>20301</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401429.40010498127</v>
          </cell>
        </row>
      </sheetData>
      <sheetData sheetId="3">
        <row r="201">
          <cell r="E201">
            <v>74075.862810526363</v>
          </cell>
        </row>
        <row r="210">
          <cell r="E210">
            <v>74075.862810526363</v>
          </cell>
        </row>
      </sheetData>
      <sheetData sheetId="4"/>
      <sheetData sheetId="5">
        <row r="13">
          <cell r="E13">
            <v>1370445.2900181604</v>
          </cell>
        </row>
        <row r="15">
          <cell r="E15">
            <v>-73072.839130016902</v>
          </cell>
        </row>
        <row r="17">
          <cell r="E17">
            <v>95477.124154174686</v>
          </cell>
        </row>
        <row r="19">
          <cell r="E19">
            <v>1429838.8308700735</v>
          </cell>
        </row>
      </sheetData>
      <sheetData sheetId="6">
        <row r="12">
          <cell r="E12">
            <v>4111.7477722760304</v>
          </cell>
        </row>
        <row r="54">
          <cell r="E54">
            <v>280750</v>
          </cell>
        </row>
        <row r="86">
          <cell r="E86">
            <v>1052.3589992046859</v>
          </cell>
        </row>
      </sheetData>
      <sheetData sheetId="7">
        <row r="14">
          <cell r="E14">
            <v>4960.8999999999996</v>
          </cell>
        </row>
        <row r="28">
          <cell r="E28">
            <v>20063.099999999999</v>
          </cell>
        </row>
        <row r="43">
          <cell r="E43">
            <v>2432.8000000000002</v>
          </cell>
        </row>
        <row r="78">
          <cell r="E78">
            <v>3542.5630000000001</v>
          </cell>
        </row>
        <row r="83">
          <cell r="E83">
            <v>0</v>
          </cell>
        </row>
        <row r="86">
          <cell r="E86">
            <v>675</v>
          </cell>
        </row>
      </sheetData>
      <sheetData sheetId="8">
        <row r="19">
          <cell r="E19">
            <v>184.84198609109285</v>
          </cell>
        </row>
        <row r="21">
          <cell r="E21">
            <v>1.8184398931432033</v>
          </cell>
        </row>
      </sheetData>
      <sheetData sheetId="9">
        <row r="12">
          <cell r="E12">
            <v>15.454306802917047</v>
          </cell>
        </row>
        <row r="33">
          <cell r="E33">
            <v>20361</v>
          </cell>
        </row>
      </sheetData>
      <sheetData sheetId="10"/>
      <sheetData sheetId="1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412702999.99999994</v>
          </cell>
        </row>
      </sheetData>
      <sheetData sheetId="3">
        <row r="201">
          <cell r="E201">
            <v>64088.129960287173</v>
          </cell>
        </row>
      </sheetData>
      <sheetData sheetId="4"/>
      <sheetData sheetId="5">
        <row r="13">
          <cell r="E13">
            <v>1429838830.8700736</v>
          </cell>
        </row>
        <row r="15">
          <cell r="E15">
            <v>-78151523.411840618</v>
          </cell>
        </row>
        <row r="17">
          <cell r="E17">
            <v>83202459.249480382</v>
          </cell>
        </row>
        <row r="19">
          <cell r="E19">
            <v>1477502274.2932127</v>
          </cell>
        </row>
      </sheetData>
      <sheetData sheetId="6">
        <row r="12">
          <cell r="E12">
            <v>4185.7266220000001</v>
          </cell>
        </row>
        <row r="54">
          <cell r="E54">
            <v>283059</v>
          </cell>
        </row>
        <row r="86">
          <cell r="E86">
            <v>1044.2505460000002</v>
          </cell>
        </row>
      </sheetData>
      <sheetData sheetId="7">
        <row r="14">
          <cell r="E14">
            <v>4955.165</v>
          </cell>
        </row>
        <row r="28">
          <cell r="E28">
            <v>20163.956000000002</v>
          </cell>
        </row>
        <row r="43">
          <cell r="E43">
            <v>2465.2890000000002</v>
          </cell>
        </row>
        <row r="78">
          <cell r="E78">
            <v>3602.9690000000001</v>
          </cell>
        </row>
        <row r="83">
          <cell r="E83">
            <v>0</v>
          </cell>
        </row>
        <row r="86">
          <cell r="E86">
            <v>675</v>
          </cell>
        </row>
      </sheetData>
      <sheetData sheetId="8">
        <row r="19">
          <cell r="E19">
            <v>141.25800000000001</v>
          </cell>
        </row>
        <row r="21">
          <cell r="E21">
            <v>1.298</v>
          </cell>
        </row>
      </sheetData>
      <sheetData sheetId="9">
        <row r="12">
          <cell r="E12">
            <v>16.13662901</v>
          </cell>
        </row>
        <row r="33">
          <cell r="E33">
            <v>20427</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Supporting Calculations"/>
    </sheetNames>
    <sheetDataSet>
      <sheetData sheetId="0"/>
      <sheetData sheetId="1"/>
      <sheetData sheetId="2">
        <row r="26">
          <cell r="E26">
            <v>281013173.34999996</v>
          </cell>
        </row>
      </sheetData>
      <sheetData sheetId="3">
        <row r="201">
          <cell r="E201">
            <v>73579842.680742621</v>
          </cell>
        </row>
      </sheetData>
      <sheetData sheetId="4"/>
      <sheetData sheetId="5">
        <row r="13">
          <cell r="E13">
            <v>896569640</v>
          </cell>
        </row>
        <row r="15">
          <cell r="E15">
            <v>-55085189</v>
          </cell>
        </row>
        <row r="17">
          <cell r="E17">
            <v>80624819</v>
          </cell>
        </row>
        <row r="19">
          <cell r="E19">
            <v>944749254</v>
          </cell>
        </row>
      </sheetData>
      <sheetData sheetId="6">
        <row r="12">
          <cell r="E12">
            <v>2856.06</v>
          </cell>
        </row>
        <row r="54">
          <cell r="E54">
            <v>181851</v>
          </cell>
        </row>
        <row r="86">
          <cell r="E86">
            <v>723.98900000000003</v>
          </cell>
        </row>
      </sheetData>
      <sheetData sheetId="7">
        <row r="14">
          <cell r="E14">
            <v>1169.163</v>
          </cell>
        </row>
        <row r="28">
          <cell r="E28">
            <v>2368.4579799999997</v>
          </cell>
        </row>
        <row r="43">
          <cell r="E43">
            <v>2903.6260486099413</v>
          </cell>
        </row>
        <row r="78">
          <cell r="E78">
            <v>2151.0149999999999</v>
          </cell>
        </row>
        <row r="83">
          <cell r="E83">
            <v>0</v>
          </cell>
        </row>
        <row r="86">
          <cell r="E86">
            <v>1478</v>
          </cell>
        </row>
      </sheetData>
      <sheetData sheetId="8">
        <row r="19">
          <cell r="E19">
            <v>32.869999999999997</v>
          </cell>
        </row>
        <row r="21">
          <cell r="E21">
            <v>0.60499999999999998</v>
          </cell>
        </row>
      </sheetData>
      <sheetData sheetId="9">
        <row r="13">
          <cell r="E13">
            <v>15.716298163168727</v>
          </cell>
        </row>
        <row r="33">
          <cell r="E33">
            <v>4074</v>
          </cell>
        </row>
      </sheetData>
      <sheetData sheetId="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12TND2016"/>
    </sheetNames>
    <sheetDataSet>
      <sheetData sheetId="0"/>
      <sheetData sheetId="1"/>
      <sheetData sheetId="2"/>
      <sheetData sheetId="3"/>
      <sheetData sheetId="4">
        <row r="25">
          <cell r="C25">
            <v>412964118.9866727</v>
          </cell>
        </row>
      </sheetData>
      <sheetData sheetId="5">
        <row r="68">
          <cell r="C68">
            <v>69929810.763066798</v>
          </cell>
        </row>
      </sheetData>
      <sheetData sheetId="6"/>
      <sheetData sheetId="7">
        <row r="13">
          <cell r="C13">
            <v>1477502274</v>
          </cell>
        </row>
        <row r="15">
          <cell r="C15">
            <v>-80892108</v>
          </cell>
        </row>
        <row r="16">
          <cell r="C16">
            <v>99398965</v>
          </cell>
        </row>
        <row r="18">
          <cell r="C18">
            <v>1514902770</v>
          </cell>
        </row>
      </sheetData>
      <sheetData sheetId="8">
        <row r="12">
          <cell r="D12">
            <v>4243.3220809999993</v>
          </cell>
        </row>
        <row r="58">
          <cell r="D58">
            <v>285325</v>
          </cell>
        </row>
        <row r="94">
          <cell r="D94">
            <v>1075.0388159999998</v>
          </cell>
        </row>
      </sheetData>
      <sheetData sheetId="9">
        <row r="13">
          <cell r="C13">
            <v>4944.93</v>
          </cell>
        </row>
        <row r="27">
          <cell r="C27">
            <v>20178.814000000002</v>
          </cell>
        </row>
        <row r="41">
          <cell r="C41">
            <v>2502.2689999999998</v>
          </cell>
        </row>
        <row r="79">
          <cell r="C79">
            <v>3627.578</v>
          </cell>
        </row>
        <row r="83">
          <cell r="C83">
            <v>0</v>
          </cell>
        </row>
        <row r="86">
          <cell r="C86">
            <v>675</v>
          </cell>
        </row>
      </sheetData>
      <sheetData sheetId="10">
        <row r="17">
          <cell r="D17">
            <v>150.40600000000001</v>
          </cell>
        </row>
        <row r="19">
          <cell r="D19">
            <v>1.5589999999999999</v>
          </cell>
        </row>
      </sheetData>
      <sheetData sheetId="11">
        <row r="10">
          <cell r="D10">
            <v>13.966118121567515</v>
          </cell>
        </row>
        <row r="35">
          <cell r="D35">
            <v>20429.770436645002</v>
          </cell>
        </row>
      </sheetData>
      <sheetData sheetId="12"/>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Assets"/>
      <sheetName val="5. Operational data"/>
      <sheetName val="6. Physical Assets"/>
      <sheetName val="7. Quality of services"/>
      <sheetName val="8. Operating environment"/>
    </sheetNames>
    <sheetDataSet>
      <sheetData sheetId="0"/>
      <sheetData sheetId="1"/>
      <sheetData sheetId="2">
        <row r="20">
          <cell r="D20">
            <v>283131</v>
          </cell>
        </row>
      </sheetData>
      <sheetData sheetId="3">
        <row r="85">
          <cell r="D85">
            <v>83237</v>
          </cell>
        </row>
        <row r="94">
          <cell r="D94">
            <v>83237</v>
          </cell>
          <cell r="E94">
            <v>81473</v>
          </cell>
          <cell r="F94">
            <v>85413.886309046997</v>
          </cell>
          <cell r="G94">
            <v>89047.922493129969</v>
          </cell>
          <cell r="H94">
            <v>96130.066559793384</v>
          </cell>
          <cell r="I94">
            <v>121992.7555149088</v>
          </cell>
          <cell r="J94">
            <v>126519.88299902935</v>
          </cell>
          <cell r="K94">
            <v>116175.49106407606</v>
          </cell>
        </row>
      </sheetData>
      <sheetData sheetId="4">
        <row r="8">
          <cell r="D8">
            <v>1052819.0597203688</v>
          </cell>
          <cell r="E8">
            <v>1096071.7854103455</v>
          </cell>
          <cell r="F8">
            <v>1137404.4326182117</v>
          </cell>
          <cell r="G8">
            <v>1153687.6225641361</v>
          </cell>
          <cell r="H8">
            <v>1243024.699647916</v>
          </cell>
          <cell r="I8">
            <v>1299933.8380532607</v>
          </cell>
          <cell r="J8">
            <v>1451113.4117864484</v>
          </cell>
          <cell r="K8">
            <v>1612838.9923467715</v>
          </cell>
        </row>
        <row r="10">
          <cell r="D10">
            <v>-70486.626808111818</v>
          </cell>
          <cell r="E10">
            <v>-74606.338306308913</v>
          </cell>
          <cell r="F10">
            <v>-79444.021156553732</v>
          </cell>
          <cell r="G10">
            <v>-76668.799873429656</v>
          </cell>
          <cell r="H10">
            <v>-76669.548274234519</v>
          </cell>
          <cell r="I10">
            <v>-64707.860204395642</v>
          </cell>
          <cell r="J10">
            <v>-81873.902372155891</v>
          </cell>
          <cell r="K10">
            <v>-93872.261597680204</v>
          </cell>
        </row>
        <row r="12">
          <cell r="D12">
            <v>80468.178781472147</v>
          </cell>
          <cell r="E12">
            <v>70756.843035853512</v>
          </cell>
          <cell r="F12">
            <v>73490.64002668469</v>
          </cell>
          <cell r="G12">
            <v>105496.60181718058</v>
          </cell>
          <cell r="H12">
            <v>117041.04261797684</v>
          </cell>
          <cell r="I12">
            <v>179608.97751353012</v>
          </cell>
          <cell r="J12">
            <v>192500.96100057624</v>
          </cell>
          <cell r="K12">
            <v>180180.49810417241</v>
          </cell>
        </row>
        <row r="14">
          <cell r="D14">
            <v>1096071.7854103455</v>
          </cell>
          <cell r="E14">
            <v>1137404.4326182117</v>
          </cell>
          <cell r="F14">
            <v>1153687.6225641361</v>
          </cell>
          <cell r="G14">
            <v>1243024.699647916</v>
          </cell>
          <cell r="H14">
            <v>1299933.8380532607</v>
          </cell>
          <cell r="I14">
            <v>1451113.4117864484</v>
          </cell>
          <cell r="J14">
            <v>1612838.9923467715</v>
          </cell>
          <cell r="K14">
            <v>1731497.8960526616</v>
          </cell>
        </row>
      </sheetData>
      <sheetData sheetId="5">
        <row r="6">
          <cell r="D6">
            <v>7915.3399999999983</v>
          </cell>
          <cell r="E6">
            <v>7972.7465784395063</v>
          </cell>
          <cell r="F6">
            <v>7895.8596747079464</v>
          </cell>
          <cell r="G6">
            <v>8013.4135843710746</v>
          </cell>
          <cell r="H6">
            <v>8163.2832633727876</v>
          </cell>
          <cell r="I6">
            <v>8022.5268351517052</v>
          </cell>
          <cell r="J6">
            <v>8120.6288165099468</v>
          </cell>
          <cell r="K6">
            <v>7856.2712131410535</v>
          </cell>
        </row>
        <row r="47">
          <cell r="D47">
            <v>612728</v>
          </cell>
          <cell r="E47">
            <v>618250</v>
          </cell>
          <cell r="F47">
            <v>624094</v>
          </cell>
          <cell r="G47">
            <v>628120</v>
          </cell>
          <cell r="H47">
            <v>633823</v>
          </cell>
          <cell r="I47">
            <v>641129.77419354848</v>
          </cell>
          <cell r="J47">
            <v>647892</v>
          </cell>
          <cell r="K47">
            <v>656516</v>
          </cell>
        </row>
        <row r="66">
          <cell r="D66">
            <v>1724.0199811842649</v>
          </cell>
          <cell r="E66">
            <v>1819.6447694965107</v>
          </cell>
          <cell r="F66">
            <v>1949.339970447654</v>
          </cell>
          <cell r="G66">
            <v>2136.7421945133965</v>
          </cell>
          <cell r="H66">
            <v>2038.7711396030913</v>
          </cell>
          <cell r="I66">
            <v>1975.2444353678161</v>
          </cell>
          <cell r="J66">
            <v>1814.848504</v>
          </cell>
          <cell r="K66">
            <v>2037.0437320000003</v>
          </cell>
        </row>
      </sheetData>
      <sheetData sheetId="6">
        <row r="9">
          <cell r="D9">
            <v>5877</v>
          </cell>
        </row>
        <row r="17">
          <cell r="D17">
            <v>10108</v>
          </cell>
          <cell r="E17">
            <v>10157.799999999999</v>
          </cell>
          <cell r="F17">
            <v>10196.700000000001</v>
          </cell>
          <cell r="G17">
            <v>10113.200000000001</v>
          </cell>
          <cell r="H17">
            <v>10147.6</v>
          </cell>
          <cell r="I17">
            <v>10130</v>
          </cell>
          <cell r="J17">
            <v>10185.700000000001</v>
          </cell>
          <cell r="K17">
            <v>10143.9</v>
          </cell>
        </row>
        <row r="27">
          <cell r="D27">
            <v>2276</v>
          </cell>
          <cell r="E27">
            <v>2318.4</v>
          </cell>
          <cell r="F27">
            <v>2386.1</v>
          </cell>
          <cell r="G27">
            <v>2424.3000000000002</v>
          </cell>
          <cell r="H27">
            <v>2496.8000000000002</v>
          </cell>
          <cell r="I27">
            <v>2595.4</v>
          </cell>
          <cell r="J27">
            <v>2631.9</v>
          </cell>
          <cell r="K27">
            <v>2690.8</v>
          </cell>
        </row>
        <row r="51">
          <cell r="D51">
            <v>3446</v>
          </cell>
          <cell r="E51">
            <v>3543</v>
          </cell>
          <cell r="F51">
            <v>3662</v>
          </cell>
          <cell r="G51">
            <v>3949</v>
          </cell>
          <cell r="H51">
            <v>4150</v>
          </cell>
          <cell r="I51">
            <v>4202</v>
          </cell>
          <cell r="J51">
            <v>4480</v>
          </cell>
          <cell r="K51">
            <v>4619</v>
          </cell>
        </row>
        <row r="56">
          <cell r="D56">
            <v>0</v>
          </cell>
          <cell r="E56">
            <v>0</v>
          </cell>
          <cell r="F56">
            <v>0</v>
          </cell>
          <cell r="G56">
            <v>0</v>
          </cell>
          <cell r="H56">
            <v>0</v>
          </cell>
          <cell r="I56">
            <v>0</v>
          </cell>
          <cell r="J56">
            <v>0</v>
          </cell>
          <cell r="K56">
            <v>0</v>
          </cell>
        </row>
        <row r="59">
          <cell r="D59">
            <v>2752</v>
          </cell>
          <cell r="E59">
            <v>2842</v>
          </cell>
          <cell r="F59">
            <v>2923</v>
          </cell>
          <cell r="G59">
            <v>2963</v>
          </cell>
          <cell r="H59">
            <v>2998</v>
          </cell>
          <cell r="I59">
            <v>3062</v>
          </cell>
          <cell r="J59">
            <v>3125</v>
          </cell>
          <cell r="K59">
            <v>3258</v>
          </cell>
        </row>
      </sheetData>
      <sheetData sheetId="7">
        <row r="14">
          <cell r="D14">
            <v>50.549709226702717</v>
          </cell>
          <cell r="E14">
            <v>60.651178067563961</v>
          </cell>
          <cell r="F14">
            <v>62.644852531264149</v>
          </cell>
          <cell r="G14">
            <v>61.490683590337625</v>
          </cell>
          <cell r="H14">
            <v>56.715930330065632</v>
          </cell>
          <cell r="I14">
            <v>60.974539338844608</v>
          </cell>
          <cell r="J14">
            <v>78.651145419293556</v>
          </cell>
          <cell r="K14">
            <v>73.56</v>
          </cell>
        </row>
        <row r="16">
          <cell r="D16">
            <v>0.92048660031994323</v>
          </cell>
          <cell r="E16">
            <v>1.0668538396157832</v>
          </cell>
          <cell r="F16">
            <v>1.3045296038769671</v>
          </cell>
          <cell r="G16">
            <v>1.3012188970088399</v>
          </cell>
          <cell r="H16">
            <v>0.98301365450156131</v>
          </cell>
          <cell r="I16">
            <v>0.95967116572529565</v>
          </cell>
          <cell r="J16">
            <v>1.0918057254938589</v>
          </cell>
          <cell r="K16">
            <v>1.01</v>
          </cell>
        </row>
      </sheetData>
      <sheetData sheetId="8">
        <row r="7">
          <cell r="D7">
            <v>12.918195349323025</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353127.69877597044</v>
          </cell>
        </row>
      </sheetData>
      <sheetData sheetId="3">
        <row r="201">
          <cell r="E201">
            <v>121867.70902049847</v>
          </cell>
        </row>
        <row r="210">
          <cell r="E210">
            <v>121867.70902049847</v>
          </cell>
        </row>
      </sheetData>
      <sheetData sheetId="4"/>
      <sheetData sheetId="5">
        <row r="13">
          <cell r="E13">
            <v>1731497.8960526616</v>
          </cell>
        </row>
        <row r="15">
          <cell r="E15">
            <v>-103287.30342356479</v>
          </cell>
        </row>
        <row r="17">
          <cell r="E17">
            <v>205573.26903436228</v>
          </cell>
        </row>
        <row r="19">
          <cell r="E19">
            <v>1871234.8030515029</v>
          </cell>
        </row>
      </sheetData>
      <sheetData sheetId="6">
        <row r="12">
          <cell r="E12">
            <v>7696.3088217114091</v>
          </cell>
        </row>
        <row r="54">
          <cell r="E54">
            <v>658453</v>
          </cell>
        </row>
        <row r="86">
          <cell r="E86">
            <v>2142.611222</v>
          </cell>
        </row>
      </sheetData>
      <sheetData sheetId="7">
        <row r="14">
          <cell r="E14">
            <v>5832.26</v>
          </cell>
        </row>
        <row r="28">
          <cell r="E28">
            <v>10085.317000000001</v>
          </cell>
        </row>
        <row r="43">
          <cell r="E43">
            <v>2738.098</v>
          </cell>
        </row>
        <row r="78">
          <cell r="E78">
            <v>4640.1180000000004</v>
          </cell>
        </row>
        <row r="83">
          <cell r="E83">
            <v>0</v>
          </cell>
        </row>
        <row r="86">
          <cell r="E86">
            <v>3357</v>
          </cell>
        </row>
      </sheetData>
      <sheetData sheetId="8">
        <row r="19">
          <cell r="E19">
            <v>77.940148650234065</v>
          </cell>
        </row>
        <row r="21">
          <cell r="E21">
            <v>1.0003570592197448</v>
          </cell>
        </row>
      </sheetData>
      <sheetData sheetId="9">
        <row r="13">
          <cell r="E13">
            <v>11.647515100850999</v>
          </cell>
        </row>
      </sheetData>
      <sheetData sheetId="10"/>
      <sheetData sheetId="1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sheetData sheetId="2">
        <row r="26">
          <cell r="E26">
            <v>401226.15590535343</v>
          </cell>
        </row>
      </sheetData>
      <sheetData sheetId="3">
        <row r="201">
          <cell r="E201">
            <v>117721.494565381</v>
          </cell>
        </row>
      </sheetData>
      <sheetData sheetId="4"/>
      <sheetData sheetId="5">
        <row r="13">
          <cell r="E13">
            <v>1866881.1583275595</v>
          </cell>
        </row>
        <row r="15">
          <cell r="E15">
            <v>-118489.52537029621</v>
          </cell>
        </row>
        <row r="17">
          <cell r="E17">
            <v>204711.74126140506</v>
          </cell>
        </row>
        <row r="19">
          <cell r="E19">
            <v>1997282.8452543686</v>
          </cell>
        </row>
      </sheetData>
      <sheetData sheetId="6">
        <row r="12">
          <cell r="E12">
            <v>7604.0173143628917</v>
          </cell>
        </row>
        <row r="54">
          <cell r="E54">
            <v>664549</v>
          </cell>
        </row>
        <row r="86">
          <cell r="E86">
            <v>1823.9849107887967</v>
          </cell>
        </row>
      </sheetData>
      <sheetData sheetId="7">
        <row r="14">
          <cell r="E14">
            <v>5823.5899999999992</v>
          </cell>
        </row>
        <row r="28">
          <cell r="E28">
            <v>10080.0742228</v>
          </cell>
        </row>
        <row r="43">
          <cell r="E43">
            <v>2793.1475426999996</v>
          </cell>
        </row>
        <row r="78">
          <cell r="E78">
            <v>4687.8959999999997</v>
          </cell>
        </row>
        <row r="83">
          <cell r="E83">
            <v>0</v>
          </cell>
        </row>
        <row r="86">
          <cell r="E86">
            <v>3357</v>
          </cell>
        </row>
      </sheetData>
      <sheetData sheetId="8">
        <row r="19">
          <cell r="E19">
            <v>66.302000000000007</v>
          </cell>
        </row>
        <row r="21">
          <cell r="E21">
            <v>0.90800000000000003</v>
          </cell>
        </row>
      </sheetData>
      <sheetData sheetId="9">
        <row r="13">
          <cell r="E13">
            <v>11.442372195278301</v>
          </cell>
        </row>
      </sheetData>
      <sheetData sheetId="10"/>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13UED2016"/>
    </sheetNames>
    <sheetDataSet>
      <sheetData sheetId="0"/>
      <sheetData sheetId="1"/>
      <sheetData sheetId="2"/>
      <sheetData sheetId="3"/>
      <sheetData sheetId="4">
        <row r="25">
          <cell r="C25">
            <v>374366613.87999964</v>
          </cell>
        </row>
      </sheetData>
      <sheetData sheetId="5">
        <row r="68">
          <cell r="C68">
            <v>138427943.29502553</v>
          </cell>
        </row>
      </sheetData>
      <sheetData sheetId="6"/>
      <sheetData sheetId="7">
        <row r="13">
          <cell r="C13">
            <v>2028283788.7637496</v>
          </cell>
        </row>
        <row r="15">
          <cell r="C15">
            <v>-137674962.73345971</v>
          </cell>
        </row>
        <row r="16">
          <cell r="C16">
            <v>167086395.05152512</v>
          </cell>
        </row>
        <row r="18">
          <cell r="C18">
            <v>2088141367.4268193</v>
          </cell>
        </row>
      </sheetData>
      <sheetData sheetId="8">
        <row r="12">
          <cell r="D12">
            <v>8067.9294112470843</v>
          </cell>
        </row>
        <row r="58">
          <cell r="D58">
            <v>669826</v>
          </cell>
        </row>
        <row r="94">
          <cell r="D94">
            <v>2008.7</v>
          </cell>
        </row>
      </sheetData>
      <sheetData sheetId="9">
        <row r="13">
          <cell r="C13">
            <v>5823.4000000000005</v>
          </cell>
        </row>
        <row r="27">
          <cell r="C27">
            <v>10041.109358129999</v>
          </cell>
        </row>
        <row r="41">
          <cell r="C41">
            <v>2834.3576012599997</v>
          </cell>
        </row>
        <row r="79">
          <cell r="C79">
            <v>4820.6580000000004</v>
          </cell>
        </row>
        <row r="83">
          <cell r="C83">
            <v>0</v>
          </cell>
        </row>
        <row r="86">
          <cell r="C86">
            <v>3319.5</v>
          </cell>
        </row>
      </sheetData>
      <sheetData sheetId="10">
        <row r="17">
          <cell r="D17">
            <v>54.673084815618111</v>
          </cell>
        </row>
        <row r="19">
          <cell r="D19">
            <v>0.80517788089713904</v>
          </cell>
        </row>
      </sheetData>
      <sheetData sheetId="11">
        <row r="11">
          <cell r="D11">
            <v>12.044813744535274</v>
          </cell>
        </row>
      </sheetData>
      <sheetData sheetId="12"/>
      <sheetData sheetId="1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3.2 Operating expenditure"/>
      <sheetName val="Unprotected Worksheet"/>
    </sheetNames>
    <sheetDataSet>
      <sheetData sheetId="0"/>
      <sheetData sheetId="1"/>
      <sheetData sheetId="2"/>
      <sheetData sheetId="3"/>
      <sheetData sheetId="4">
        <row r="57">
          <cell r="D57">
            <v>32644372.4612781</v>
          </cell>
          <cell r="E57">
            <v>33989783.685829967</v>
          </cell>
          <cell r="F57">
            <v>37658377.116216801</v>
          </cell>
          <cell r="G57">
            <v>39959378.599711999</v>
          </cell>
          <cell r="H57">
            <v>46087463.131804988</v>
          </cell>
          <cell r="I57">
            <v>53239636.389662117</v>
          </cell>
          <cell r="J57">
            <v>58764115.947737537</v>
          </cell>
          <cell r="K57">
            <v>66417409.985292614</v>
          </cell>
          <cell r="L57">
            <v>77223594.865233928</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 val="01ACT2016"/>
    </sheetNames>
    <sheetDataSet>
      <sheetData sheetId="0"/>
      <sheetData sheetId="1"/>
      <sheetData sheetId="2"/>
      <sheetData sheetId="3"/>
      <sheetData sheetId="4">
        <row r="25">
          <cell r="C25">
            <v>268689968.64999998</v>
          </cell>
        </row>
      </sheetData>
      <sheetData sheetId="5">
        <row r="68">
          <cell r="C68">
            <v>40562178.87485183</v>
          </cell>
        </row>
      </sheetData>
      <sheetData sheetId="6"/>
      <sheetData sheetId="7"/>
      <sheetData sheetId="8">
        <row r="13">
          <cell r="C13">
            <v>943535464</v>
          </cell>
        </row>
        <row r="15">
          <cell r="C15">
            <v>-60657180</v>
          </cell>
        </row>
        <row r="16">
          <cell r="C16">
            <v>61436645</v>
          </cell>
        </row>
        <row r="18">
          <cell r="C18">
            <v>958483708</v>
          </cell>
        </row>
      </sheetData>
      <sheetData sheetId="9">
        <row r="12">
          <cell r="D12">
            <v>2876.1119615949115</v>
          </cell>
        </row>
        <row r="58">
          <cell r="D58">
            <v>184961.5</v>
          </cell>
        </row>
        <row r="94">
          <cell r="D94">
            <v>669.24199999999996</v>
          </cell>
        </row>
      </sheetData>
      <sheetData sheetId="10">
        <row r="13">
          <cell r="C13">
            <v>1166.7764167657967</v>
          </cell>
        </row>
        <row r="27">
          <cell r="C27">
            <v>2365.1569898784319</v>
          </cell>
        </row>
        <row r="41">
          <cell r="C41">
            <v>2946.4116804802484</v>
          </cell>
        </row>
        <row r="79">
          <cell r="C79">
            <v>2183.3710000000001</v>
          </cell>
        </row>
        <row r="83">
          <cell r="C83">
            <v>0</v>
          </cell>
        </row>
        <row r="86">
          <cell r="C86">
            <v>1478</v>
          </cell>
        </row>
      </sheetData>
      <sheetData sheetId="11">
        <row r="17">
          <cell r="D17">
            <v>35.096162004447258</v>
          </cell>
        </row>
        <row r="19">
          <cell r="D19">
            <v>0.67451152128542491</v>
          </cell>
        </row>
      </sheetData>
      <sheetData sheetId="12">
        <row r="10">
          <cell r="D10">
            <v>45</v>
          </cell>
        </row>
        <row r="35">
          <cell r="D35">
            <v>4114</v>
          </cell>
        </row>
      </sheetData>
      <sheetData sheetId="13"/>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Contents"/>
      <sheetName val="2. Revenue"/>
      <sheetName val="3. Opex"/>
      <sheetName val="4. Assets (RAB)"/>
      <sheetName val="5. Operational data"/>
      <sheetName val="6. Physical Assets"/>
      <sheetName val="7. Quality of services"/>
      <sheetName val="8. Operating environment"/>
    </sheetNames>
    <sheetDataSet>
      <sheetData sheetId="0"/>
      <sheetData sheetId="1"/>
      <sheetData sheetId="2">
        <row r="20">
          <cell r="D20">
            <v>931134.98300000012</v>
          </cell>
        </row>
      </sheetData>
      <sheetData sheetId="3">
        <row r="103">
          <cell r="D103">
            <v>357834.49621930806</v>
          </cell>
          <cell r="E103">
            <v>316522.99188389262</v>
          </cell>
          <cell r="F103">
            <v>467809.122173907</v>
          </cell>
          <cell r="G103">
            <v>441027.33814656845</v>
          </cell>
          <cell r="H103">
            <v>511184.26885726338</v>
          </cell>
          <cell r="I103">
            <v>506684.85404769256</v>
          </cell>
          <cell r="J103">
            <v>577601.09550643899</v>
          </cell>
          <cell r="K103">
            <v>471121.68333051458</v>
          </cell>
        </row>
      </sheetData>
      <sheetData sheetId="4">
        <row r="8">
          <cell r="D8">
            <v>4984720.034</v>
          </cell>
          <cell r="E8">
            <v>5487544.8959999997</v>
          </cell>
          <cell r="F8">
            <v>6202092.1339999996</v>
          </cell>
          <cell r="G8">
            <v>7017219.9289999995</v>
          </cell>
          <cell r="H8">
            <v>8111639.9879999999</v>
          </cell>
          <cell r="I8">
            <v>9324089.8829999994</v>
          </cell>
          <cell r="J8">
            <v>10807963.049000001</v>
          </cell>
          <cell r="K8">
            <v>12453705.397</v>
          </cell>
        </row>
        <row r="10">
          <cell r="D10">
            <v>-201260.62299999999</v>
          </cell>
          <cell r="E10">
            <v>-224065.18299999999</v>
          </cell>
          <cell r="F10">
            <v>-253942.66800000001</v>
          </cell>
          <cell r="G10">
            <v>-289645.25799999997</v>
          </cell>
          <cell r="H10">
            <v>-274324.60200000001</v>
          </cell>
          <cell r="I10">
            <v>-324624.58299999998</v>
          </cell>
          <cell r="J10">
            <v>-392361.07699999999</v>
          </cell>
          <cell r="K10">
            <v>-463414.81699999998</v>
          </cell>
        </row>
        <row r="12">
          <cell r="D12">
            <v>579048.228</v>
          </cell>
          <cell r="E12">
            <v>765472.41299999994</v>
          </cell>
          <cell r="F12">
            <v>923492.34699999995</v>
          </cell>
          <cell r="G12">
            <v>1105381.2050000001</v>
          </cell>
          <cell r="H12">
            <v>1332144.672</v>
          </cell>
          <cell r="I12">
            <v>1541821.62</v>
          </cell>
          <cell r="J12">
            <v>1704512.6129999999</v>
          </cell>
          <cell r="K12">
            <v>1246641.0889999999</v>
          </cell>
        </row>
        <row r="14">
          <cell r="D14">
            <v>5487544.8959999997</v>
          </cell>
          <cell r="E14">
            <v>6202092.1339999996</v>
          </cell>
          <cell r="F14">
            <v>7017211.4189999998</v>
          </cell>
          <cell r="G14">
            <v>8111639.9879999999</v>
          </cell>
          <cell r="H14">
            <v>9324089.8829999994</v>
          </cell>
          <cell r="I14">
            <v>10807966.755000001</v>
          </cell>
          <cell r="J14">
            <v>12453705.397</v>
          </cell>
          <cell r="K14">
            <v>13466103.355</v>
          </cell>
        </row>
        <row r="58">
          <cell r="D58">
            <v>1238229.486</v>
          </cell>
          <cell r="E58">
            <v>1354552.46</v>
          </cell>
          <cell r="F58">
            <v>1550981.47</v>
          </cell>
          <cell r="G58">
            <v>1771699.6340000001</v>
          </cell>
          <cell r="H58">
            <v>2133229.4730000002</v>
          </cell>
          <cell r="I58">
            <v>2411991.4649999999</v>
          </cell>
          <cell r="J58">
            <v>2729351.1069999998</v>
          </cell>
          <cell r="K58">
            <v>3072297.0290000001</v>
          </cell>
        </row>
        <row r="60">
          <cell r="D60">
            <v>-40651.47</v>
          </cell>
          <cell r="E60">
            <v>-44283.428</v>
          </cell>
          <cell r="F60">
            <v>-48465.733</v>
          </cell>
          <cell r="G60">
            <v>-53069.135000000002</v>
          </cell>
          <cell r="H60">
            <v>-50081.940999999999</v>
          </cell>
          <cell r="I60">
            <v>-57581.985999999997</v>
          </cell>
          <cell r="J60">
            <v>-65508.462</v>
          </cell>
          <cell r="K60">
            <v>-75034.396999999997</v>
          </cell>
        </row>
        <row r="62">
          <cell r="D62">
            <v>123311.99099999999</v>
          </cell>
          <cell r="E62">
            <v>198411.74100000001</v>
          </cell>
          <cell r="F62">
            <v>226429.87400000001</v>
          </cell>
          <cell r="G62">
            <v>335609.30800000002</v>
          </cell>
          <cell r="H62">
            <v>317411.55499999999</v>
          </cell>
          <cell r="I62">
            <v>356481.49200000003</v>
          </cell>
          <cell r="J62">
            <v>375601.511</v>
          </cell>
          <cell r="K62">
            <v>276231.38299999997</v>
          </cell>
        </row>
        <row r="64">
          <cell r="D64">
            <v>1354552.46</v>
          </cell>
          <cell r="E64">
            <v>1550981.47</v>
          </cell>
          <cell r="F64">
            <v>1771699.6340000001</v>
          </cell>
          <cell r="G64">
            <v>2126552.1349999998</v>
          </cell>
          <cell r="H64">
            <v>2445262.3280000002</v>
          </cell>
          <cell r="I64">
            <v>2782322.7579999999</v>
          </cell>
          <cell r="J64">
            <v>3115773.67</v>
          </cell>
          <cell r="K64">
            <v>3334476.7930000001</v>
          </cell>
        </row>
      </sheetData>
      <sheetData sheetId="5">
        <row r="6">
          <cell r="D6">
            <v>30120.253331129858</v>
          </cell>
          <cell r="E6">
            <v>30441.837283128782</v>
          </cell>
          <cell r="F6">
            <v>30555.278457618409</v>
          </cell>
          <cell r="G6">
            <v>30707.253764586236</v>
          </cell>
          <cell r="H6">
            <v>30533.414655190561</v>
          </cell>
          <cell r="I6">
            <v>30569.629007553311</v>
          </cell>
          <cell r="J6">
            <v>29344.733929410948</v>
          </cell>
          <cell r="K6">
            <v>26338.085908875004</v>
          </cell>
        </row>
        <row r="47">
          <cell r="D47">
            <v>1546194.5</v>
          </cell>
          <cell r="E47">
            <v>1561614</v>
          </cell>
          <cell r="F47">
            <v>1574318</v>
          </cell>
          <cell r="G47">
            <v>1586138</v>
          </cell>
          <cell r="H47">
            <v>1596897.5</v>
          </cell>
          <cell r="I47">
            <v>1608734.5</v>
          </cell>
          <cell r="J47">
            <v>1621658.5</v>
          </cell>
          <cell r="K47">
            <v>1635052.5</v>
          </cell>
        </row>
        <row r="66">
          <cell r="D66">
            <v>6109.7635599999994</v>
          </cell>
          <cell r="E66">
            <v>6019.4088400000019</v>
          </cell>
          <cell r="F66">
            <v>6280.2569099999992</v>
          </cell>
          <cell r="G66">
            <v>6372.643</v>
          </cell>
          <cell r="H66">
            <v>6305.1046800000004</v>
          </cell>
          <cell r="I66">
            <v>6555.2656999999999</v>
          </cell>
          <cell r="J66">
            <v>5958.1553700000004</v>
          </cell>
          <cell r="K66">
            <v>6004.7919040678617</v>
          </cell>
        </row>
      </sheetData>
      <sheetData sheetId="6">
        <row r="9">
          <cell r="D9">
            <v>12844</v>
          </cell>
        </row>
        <row r="17">
          <cell r="D17">
            <v>26108.799999999999</v>
          </cell>
          <cell r="E17">
            <v>25884.499999999996</v>
          </cell>
          <cell r="F17">
            <v>25986.1</v>
          </cell>
          <cell r="G17">
            <v>25933.999999999996</v>
          </cell>
          <cell r="H17">
            <v>25966.699999999997</v>
          </cell>
          <cell r="I17">
            <v>26138.7</v>
          </cell>
          <cell r="J17">
            <v>26084.699999999997</v>
          </cell>
          <cell r="K17">
            <v>26071.899999999998</v>
          </cell>
        </row>
        <row r="27">
          <cell r="D27">
            <v>12633.594999999999</v>
          </cell>
          <cell r="E27">
            <v>12990.440200000001</v>
          </cell>
          <cell r="F27">
            <v>13237.806200000001</v>
          </cell>
          <cell r="G27">
            <v>13528.306199999999</v>
          </cell>
          <cell r="H27">
            <v>13778.575500000001</v>
          </cell>
          <cell r="I27">
            <v>14133.723</v>
          </cell>
          <cell r="J27">
            <v>14541.592999999999</v>
          </cell>
          <cell r="K27">
            <v>14891.606000000002</v>
          </cell>
        </row>
        <row r="51">
          <cell r="D51">
            <v>12608.59430979979</v>
          </cell>
          <cell r="E51">
            <v>13215.375131717597</v>
          </cell>
          <cell r="F51">
            <v>13725.693361433088</v>
          </cell>
          <cell r="G51">
            <v>13932.714680189674</v>
          </cell>
          <cell r="H51">
            <v>14139.735998946258</v>
          </cell>
          <cell r="I51">
            <v>14150.844463294696</v>
          </cell>
          <cell r="J51">
            <v>14544.714546891466</v>
          </cell>
          <cell r="K51">
            <v>14765</v>
          </cell>
        </row>
        <row r="56">
          <cell r="D56">
            <v>7545</v>
          </cell>
          <cell r="E56">
            <v>7571</v>
          </cell>
          <cell r="F56">
            <v>7597</v>
          </cell>
          <cell r="G56">
            <v>7623</v>
          </cell>
          <cell r="H56">
            <v>7649</v>
          </cell>
          <cell r="I56">
            <v>7904</v>
          </cell>
          <cell r="J56">
            <v>7713</v>
          </cell>
          <cell r="K56">
            <v>7728</v>
          </cell>
        </row>
        <row r="59">
          <cell r="D59">
            <v>19349.5</v>
          </cell>
          <cell r="E59">
            <v>19869.5</v>
          </cell>
          <cell r="F59">
            <v>20426</v>
          </cell>
          <cell r="G59">
            <v>21523.5</v>
          </cell>
          <cell r="H59">
            <v>22622</v>
          </cell>
          <cell r="I59">
            <v>23366.5</v>
          </cell>
          <cell r="J59">
            <v>24053</v>
          </cell>
          <cell r="K59">
            <v>24930</v>
          </cell>
        </row>
      </sheetData>
      <sheetData sheetId="7">
        <row r="13">
          <cell r="D13">
            <v>86.99</v>
          </cell>
          <cell r="E13">
            <v>85.5</v>
          </cell>
          <cell r="F13">
            <v>97.03</v>
          </cell>
          <cell r="G13">
            <v>106.5</v>
          </cell>
          <cell r="H13">
            <v>78.94</v>
          </cell>
          <cell r="I13">
            <v>89.33</v>
          </cell>
          <cell r="J13">
            <v>79.27</v>
          </cell>
          <cell r="K13">
            <v>67.62</v>
          </cell>
        </row>
        <row r="15">
          <cell r="D15">
            <v>1.155</v>
          </cell>
          <cell r="E15">
            <v>1.0429999999999999</v>
          </cell>
          <cell r="F15">
            <v>1.151</v>
          </cell>
          <cell r="G15">
            <v>1.3009999999999999</v>
          </cell>
          <cell r="H15">
            <v>1.06</v>
          </cell>
          <cell r="I15">
            <v>1.032</v>
          </cell>
          <cell r="J15">
            <v>0.8831</v>
          </cell>
          <cell r="K15">
            <v>0.73250000000000004</v>
          </cell>
        </row>
      </sheetData>
      <sheetData sheetId="8">
        <row r="6">
          <cell r="D6">
            <v>44.72183179099541</v>
          </cell>
        </row>
        <row r="27">
          <cell r="D27">
            <v>34573.595000000001</v>
          </cell>
          <cell r="E27">
            <v>34930.440199999997</v>
          </cell>
          <cell r="F27">
            <v>35177.806199999999</v>
          </cell>
          <cell r="G27">
            <v>35468.306199999999</v>
          </cell>
          <cell r="H27">
            <v>35718.575499999999</v>
          </cell>
          <cell r="I27">
            <v>36202.722999999998</v>
          </cell>
          <cell r="J27">
            <v>36609.593000000001</v>
          </cell>
          <cell r="K27">
            <v>36951.606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sheetData sheetId="2">
        <row r="26">
          <cell r="E26">
            <v>2388579.7429999998</v>
          </cell>
        </row>
      </sheetData>
      <sheetData sheetId="3">
        <row r="201">
          <cell r="E201">
            <v>539569.59182207973</v>
          </cell>
        </row>
      </sheetData>
      <sheetData sheetId="4"/>
      <sheetData sheetId="5">
        <row r="13">
          <cell r="E13">
            <v>13466103.355</v>
          </cell>
        </row>
        <row r="15">
          <cell r="E15">
            <v>-485425.74800000002</v>
          </cell>
        </row>
        <row r="17">
          <cell r="E17">
            <v>1107800.7960000001</v>
          </cell>
        </row>
        <row r="19">
          <cell r="E19">
            <v>14287405.305000002</v>
          </cell>
        </row>
        <row r="63">
          <cell r="E63">
            <v>3350436.6517576468</v>
          </cell>
        </row>
        <row r="65">
          <cell r="E65">
            <v>-83422.857014641209</v>
          </cell>
        </row>
        <row r="67">
          <cell r="E67">
            <v>117538.46053862512</v>
          </cell>
        </row>
        <row r="69">
          <cell r="E69">
            <v>3471605.2236692994</v>
          </cell>
        </row>
      </sheetData>
      <sheetData sheetId="6">
        <row r="12">
          <cell r="E12">
            <v>25523.446190068</v>
          </cell>
        </row>
        <row r="54">
          <cell r="E54">
            <v>1651159.5</v>
          </cell>
        </row>
        <row r="86">
          <cell r="E86">
            <v>5165.4497899999997</v>
          </cell>
        </row>
      </sheetData>
      <sheetData sheetId="7">
        <row r="14">
          <cell r="E14">
            <v>13083</v>
          </cell>
        </row>
        <row r="28">
          <cell r="E28">
            <v>26044.1</v>
          </cell>
        </row>
        <row r="43">
          <cell r="E43">
            <v>15227.388000000001</v>
          </cell>
        </row>
        <row r="78">
          <cell r="E78">
            <v>15179.44</v>
          </cell>
        </row>
        <row r="83">
          <cell r="E83">
            <v>7888</v>
          </cell>
        </row>
        <row r="86">
          <cell r="E86">
            <v>25649</v>
          </cell>
        </row>
      </sheetData>
      <sheetData sheetId="8">
        <row r="19">
          <cell r="E19">
            <v>76.52</v>
          </cell>
        </row>
        <row r="21">
          <cell r="E21">
            <v>0.82499999999999996</v>
          </cell>
        </row>
      </sheetData>
      <sheetData sheetId="9">
        <row r="12">
          <cell r="E12">
            <v>44.23</v>
          </cell>
        </row>
        <row r="33">
          <cell r="E33">
            <v>37333.766380699737</v>
          </cell>
        </row>
      </sheetData>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sheetData sheetId="2">
        <row r="26">
          <cell r="E26">
            <v>2257099880.362</v>
          </cell>
        </row>
      </sheetData>
      <sheetData sheetId="3">
        <row r="201">
          <cell r="E201">
            <v>647227975.80349469</v>
          </cell>
        </row>
      </sheetData>
      <sheetData sheetId="4"/>
      <sheetData sheetId="5">
        <row r="13">
          <cell r="E13">
            <v>14287405.304999996</v>
          </cell>
        </row>
        <row r="15">
          <cell r="E15">
            <v>-501943.16620971647</v>
          </cell>
        </row>
        <row r="17">
          <cell r="E17">
            <v>608113.82905236469</v>
          </cell>
        </row>
        <row r="19">
          <cell r="E19">
            <v>14675423.73734715</v>
          </cell>
        </row>
        <row r="63">
          <cell r="E63">
            <v>3471605.2239999999</v>
          </cell>
        </row>
        <row r="65">
          <cell r="E65">
            <v>-83502.79074818622</v>
          </cell>
        </row>
        <row r="67">
          <cell r="E67">
            <v>105920.1219131853</v>
          </cell>
        </row>
        <row r="69">
          <cell r="E69">
            <v>3534465.0769993691</v>
          </cell>
        </row>
      </sheetData>
      <sheetData sheetId="6">
        <row r="12">
          <cell r="E12">
            <v>25630.065756235224</v>
          </cell>
        </row>
        <row r="54">
          <cell r="E54">
            <v>1669558.4999999998</v>
          </cell>
        </row>
        <row r="86">
          <cell r="E86">
            <v>5367.3402900000001</v>
          </cell>
        </row>
      </sheetData>
      <sheetData sheetId="7">
        <row r="14">
          <cell r="E14">
            <v>13079.340202301673</v>
          </cell>
        </row>
        <row r="28">
          <cell r="E28">
            <v>26005.772004570954</v>
          </cell>
        </row>
        <row r="43">
          <cell r="E43">
            <v>15364.557475778833</v>
          </cell>
        </row>
        <row r="78">
          <cell r="E78">
            <v>15296.409</v>
          </cell>
        </row>
        <row r="83">
          <cell r="E83">
            <v>7858</v>
          </cell>
        </row>
        <row r="86">
          <cell r="E86">
            <v>25956</v>
          </cell>
        </row>
      </sheetData>
      <sheetData sheetId="8">
        <row r="19">
          <cell r="E19">
            <v>71.400000000000006</v>
          </cell>
        </row>
        <row r="21">
          <cell r="E21">
            <v>0.68500000000000005</v>
          </cell>
        </row>
      </sheetData>
      <sheetData sheetId="9">
        <row r="12">
          <cell r="E12">
            <v>43.155999999999999</v>
          </cell>
        </row>
        <row r="33">
          <cell r="E33">
            <v>38686.992329176544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9" workbookViewId="0">
      <selection activeCell="A24" sqref="A24"/>
    </sheetView>
  </sheetViews>
  <sheetFormatPr defaultRowHeight="15"/>
  <cols>
    <col min="1" max="1" width="101.5703125" style="107" customWidth="1"/>
    <col min="2" max="9" width="8.7109375" style="107"/>
  </cols>
  <sheetData>
    <row r="1" spans="1:9">
      <c r="A1" s="23" t="s">
        <v>162</v>
      </c>
    </row>
    <row r="2" spans="1:9">
      <c r="A2" s="105" t="s">
        <v>163</v>
      </c>
    </row>
    <row r="4" spans="1:9">
      <c r="A4" s="106" t="s">
        <v>164</v>
      </c>
    </row>
    <row r="5" spans="1:9">
      <c r="A5" s="107" t="s">
        <v>165</v>
      </c>
    </row>
    <row r="7" spans="1:9">
      <c r="A7" s="106" t="s">
        <v>166</v>
      </c>
    </row>
    <row r="8" spans="1:9">
      <c r="A8" s="108" t="s">
        <v>170</v>
      </c>
    </row>
    <row r="9" spans="1:9">
      <c r="A9" s="108" t="s">
        <v>171</v>
      </c>
    </row>
    <row r="10" spans="1:9" s="19" customFormat="1" ht="29.1" customHeight="1">
      <c r="A10" s="110" t="s">
        <v>178</v>
      </c>
      <c r="B10" s="111"/>
      <c r="C10" s="111"/>
      <c r="D10" s="111"/>
      <c r="E10" s="111"/>
      <c r="F10" s="111"/>
      <c r="G10" s="111"/>
      <c r="H10" s="111"/>
      <c r="I10" s="111"/>
    </row>
    <row r="11" spans="1:9" ht="71.45" customHeight="1">
      <c r="A11" s="110" t="s">
        <v>179</v>
      </c>
    </row>
    <row r="12" spans="1:9" ht="14.45" customHeight="1">
      <c r="A12" s="110" t="s">
        <v>173</v>
      </c>
    </row>
    <row r="13" spans="1:9" s="19" customFormat="1" ht="14.45" customHeight="1">
      <c r="A13" s="110" t="s">
        <v>174</v>
      </c>
      <c r="B13" s="111"/>
      <c r="C13" s="111"/>
      <c r="D13" s="111"/>
      <c r="E13" s="111"/>
      <c r="F13" s="111"/>
      <c r="G13" s="111"/>
      <c r="H13" s="111"/>
      <c r="I13" s="111"/>
    </row>
    <row r="14" spans="1:9">
      <c r="A14" s="110" t="s">
        <v>172</v>
      </c>
    </row>
    <row r="15" spans="1:9" s="19" customFormat="1" ht="14.45" customHeight="1">
      <c r="A15" s="110" t="s">
        <v>175</v>
      </c>
      <c r="B15" s="111"/>
      <c r="C15" s="111"/>
      <c r="D15" s="111"/>
      <c r="E15" s="111"/>
      <c r="F15" s="111"/>
      <c r="G15" s="111"/>
      <c r="H15" s="111"/>
      <c r="I15" s="111"/>
    </row>
    <row r="16" spans="1:9">
      <c r="A16" s="108" t="s">
        <v>176</v>
      </c>
    </row>
    <row r="17" spans="1:1">
      <c r="A17" s="108" t="s">
        <v>177</v>
      </c>
    </row>
    <row r="19" spans="1:1">
      <c r="A19" s="109" t="s">
        <v>167</v>
      </c>
    </row>
    <row r="20" spans="1:1">
      <c r="A20" s="108" t="s">
        <v>168</v>
      </c>
    </row>
    <row r="21" spans="1:1">
      <c r="A21" s="108" t="s">
        <v>180</v>
      </c>
    </row>
    <row r="22" spans="1:1">
      <c r="A22" s="108" t="s">
        <v>169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9"/>
  <sheetViews>
    <sheetView zoomScale="75" zoomScaleNormal="75" workbookViewId="0">
      <selection activeCell="N26" sqref="N26:N38"/>
    </sheetView>
  </sheetViews>
  <sheetFormatPr defaultRowHeight="15"/>
  <cols>
    <col min="1" max="1" width="35.42578125" customWidth="1"/>
    <col min="2" max="2" width="11.140625" style="25" customWidth="1"/>
    <col min="3" max="9" width="12.85546875" style="25" customWidth="1"/>
    <col min="10" max="12" width="12.85546875" customWidth="1"/>
    <col min="13" max="13" width="14.7109375" style="2" customWidth="1"/>
    <col min="15" max="15" width="7.140625" customWidth="1"/>
    <col min="16" max="16" width="11.5703125" customWidth="1"/>
    <col min="17" max="17" width="9.85546875" customWidth="1"/>
  </cols>
  <sheetData>
    <row r="1" spans="1:36" s="2" customFormat="1">
      <c r="A1" s="23" t="s">
        <v>107</v>
      </c>
      <c r="B1" s="85" t="str">
        <f>"Real "&amp;Real_year&amp;""</f>
        <v>Real 2016</v>
      </c>
      <c r="C1" s="2">
        <v>2006</v>
      </c>
      <c r="D1" s="2">
        <v>2007</v>
      </c>
      <c r="E1" s="2">
        <v>2008</v>
      </c>
      <c r="F1" s="2">
        <v>2009</v>
      </c>
      <c r="G1" s="2">
        <v>2010</v>
      </c>
      <c r="H1" s="2">
        <v>2011</v>
      </c>
      <c r="I1" s="2">
        <v>2012</v>
      </c>
      <c r="J1" s="2">
        <v>2013</v>
      </c>
      <c r="K1" s="2">
        <v>2014</v>
      </c>
      <c r="L1" s="2">
        <v>2015</v>
      </c>
      <c r="M1" s="2">
        <v>2016</v>
      </c>
    </row>
    <row r="2" spans="1:36" s="2" customFormat="1">
      <c r="A2" s="2" t="s">
        <v>29</v>
      </c>
      <c r="C2" s="70">
        <f>CPI!F9</f>
        <v>1.2805587892898718</v>
      </c>
      <c r="D2" s="70">
        <f>CPI!G9</f>
        <v>1.2542759407069555</v>
      </c>
      <c r="E2" s="70">
        <f>CPI!H9</f>
        <v>1.2008733624454149</v>
      </c>
      <c r="F2" s="70">
        <f>CPI!I9</f>
        <v>1.1840688912809472</v>
      </c>
      <c r="G2" s="70">
        <f>CPI!J9</f>
        <v>1.1482254697286012</v>
      </c>
      <c r="H2" s="70">
        <f>CPI!K9</f>
        <v>1.1088709677419355</v>
      </c>
      <c r="I2" s="70">
        <f>CPI!L9</f>
        <v>1.095617529880478</v>
      </c>
      <c r="J2" s="70">
        <f>CPI!M9</f>
        <v>1.0700389105058365</v>
      </c>
      <c r="K2" s="70">
        <f>CPI!N9</f>
        <v>1.0387157695939566</v>
      </c>
      <c r="L2" s="70">
        <f>CPI!O9</f>
        <v>1.0232558139534884</v>
      </c>
      <c r="M2" s="70">
        <f>CPI!P9</f>
        <v>1.0128913443830572</v>
      </c>
    </row>
    <row r="3" spans="1:36" s="2" customFormat="1">
      <c r="A3" s="2" t="s">
        <v>28</v>
      </c>
      <c r="C3" s="70">
        <f>CPI!F10</f>
        <v>1.3126491646778042</v>
      </c>
      <c r="D3" s="70">
        <f>CPI!G10</f>
        <v>1.2702078521939955</v>
      </c>
      <c r="E3" s="70">
        <f>CPI!H10</f>
        <v>1.2345679012345681</v>
      </c>
      <c r="F3" s="70">
        <f>CPI!I10</f>
        <v>1.1904761904761905</v>
      </c>
      <c r="G3" s="70">
        <f>CPI!J10</f>
        <v>1.166489925768823</v>
      </c>
      <c r="H3" s="70">
        <f>CPI!K10</f>
        <v>1.1351909184726521</v>
      </c>
      <c r="I3" s="70">
        <f>CPI!L10</f>
        <v>1.1022044088176353</v>
      </c>
      <c r="J3" s="70">
        <f>CPI!M10</f>
        <v>1.0784313725490196</v>
      </c>
      <c r="K3" s="70">
        <f>CPI!N10</f>
        <v>1.0496183206106871</v>
      </c>
      <c r="L3" s="70">
        <f>CPI!O10</f>
        <v>1.0318949343339587</v>
      </c>
      <c r="M3" s="70">
        <f>CPI!P10</f>
        <v>1.014760147601476</v>
      </c>
    </row>
    <row r="4" spans="1:36" s="2" customFormat="1">
      <c r="C4" s="87"/>
      <c r="D4" s="87"/>
      <c r="E4" s="87"/>
      <c r="F4" s="87"/>
      <c r="G4" s="87"/>
      <c r="H4" s="87"/>
      <c r="I4" s="87"/>
      <c r="J4" s="87"/>
      <c r="K4" s="87"/>
      <c r="L4" s="87"/>
      <c r="M4" s="87"/>
    </row>
    <row r="5" spans="1:36" s="2" customFormat="1">
      <c r="C5" s="87"/>
      <c r="D5" s="87"/>
      <c r="E5" s="87"/>
      <c r="F5" s="87"/>
      <c r="G5" s="87"/>
      <c r="H5" s="87"/>
      <c r="I5" s="87"/>
      <c r="J5" s="87"/>
      <c r="K5" s="87"/>
      <c r="L5" s="87"/>
      <c r="M5" s="87"/>
    </row>
    <row r="7" spans="1:36" s="2" customFormat="1">
      <c r="A7" s="23" t="s">
        <v>158</v>
      </c>
      <c r="B7" s="25"/>
      <c r="C7" s="25"/>
      <c r="D7" s="25"/>
      <c r="E7" s="25"/>
      <c r="F7" s="25"/>
      <c r="G7" s="25"/>
      <c r="H7" s="25"/>
      <c r="I7" s="25"/>
    </row>
    <row r="8" spans="1:36">
      <c r="A8" s="85" t="s">
        <v>137</v>
      </c>
    </row>
    <row r="9" spans="1:36" s="2" customFormat="1">
      <c r="B9" s="25"/>
      <c r="C9" s="2">
        <v>2006</v>
      </c>
      <c r="D9" s="2">
        <v>2007</v>
      </c>
      <c r="E9" s="2">
        <v>2008</v>
      </c>
      <c r="F9" s="2">
        <v>2009</v>
      </c>
      <c r="G9" s="2">
        <v>2010</v>
      </c>
      <c r="H9" s="2">
        <v>2011</v>
      </c>
      <c r="I9" s="2">
        <v>2012</v>
      </c>
      <c r="J9" s="2">
        <v>2013</v>
      </c>
      <c r="K9" s="2">
        <v>2014</v>
      </c>
      <c r="L9" s="2">
        <v>2015</v>
      </c>
      <c r="M9" s="2">
        <v>2016</v>
      </c>
    </row>
    <row r="10" spans="1:36">
      <c r="A10" t="s">
        <v>1</v>
      </c>
      <c r="B10" s="17" t="s">
        <v>30</v>
      </c>
      <c r="C10" s="71">
        <f>'[3]4. Assets (RAB)'!D10</f>
        <v>-23628.994719235827</v>
      </c>
      <c r="D10" s="71">
        <f>'[3]4. Assets (RAB)'!E10</f>
        <v>-25150.379587713338</v>
      </c>
      <c r="E10" s="71">
        <f>'[3]4. Assets (RAB)'!F10</f>
        <v>-26570.057343712524</v>
      </c>
      <c r="F10" s="71">
        <f>'[3]4. Assets (RAB)'!G10</f>
        <v>-28677.285890860141</v>
      </c>
      <c r="G10" s="71">
        <f>'[3]4. Assets (RAB)'!H10</f>
        <v>-30604.575188427232</v>
      </c>
      <c r="H10" s="71">
        <f>'[3]4. Assets (RAB)'!I10</f>
        <v>-33775.868383474903</v>
      </c>
      <c r="I10" s="71">
        <f>'[3]4. Assets (RAB)'!J10</f>
        <v>-37392.400414643591</v>
      </c>
      <c r="J10" s="71">
        <f>'[3]4. Assets (RAB)'!K10</f>
        <v>-41035.20893735627</v>
      </c>
      <c r="K10" s="72">
        <f>'[4]3.3 Assets (RAB)'!$E$15</f>
        <v>-45342.765346326341</v>
      </c>
      <c r="L10" s="72">
        <f>'[5]3.3 Assets (RAB)'!$E$15/1000</f>
        <v>-55085.188999999998</v>
      </c>
      <c r="M10" s="72">
        <f>'[6]3.3 Assets (RAB)'!$C$15/1000</f>
        <v>-60657.18</v>
      </c>
      <c r="O10" s="78"/>
      <c r="P10" s="78"/>
      <c r="Q10" s="78"/>
      <c r="R10" s="78"/>
      <c r="S10" s="78"/>
      <c r="T10" s="78"/>
      <c r="U10" s="78"/>
      <c r="V10" s="78"/>
      <c r="W10" s="78"/>
      <c r="AA10" s="78"/>
      <c r="AB10" s="78"/>
      <c r="AC10" s="78"/>
      <c r="AD10" s="78"/>
      <c r="AE10" s="78"/>
      <c r="AF10" s="78"/>
      <c r="AG10" s="78"/>
      <c r="AH10" s="78"/>
      <c r="AI10" s="78"/>
      <c r="AJ10" s="78"/>
    </row>
    <row r="11" spans="1:36">
      <c r="A11" t="s">
        <v>78</v>
      </c>
      <c r="B11" s="17" t="s">
        <v>30</v>
      </c>
      <c r="C11" s="73">
        <f>'[7]4. Assets (RAB)'!D10-Zonesubstationtransformation!S77</f>
        <v>-185409.29138161193</v>
      </c>
      <c r="D11" s="73">
        <f>'[7]4. Assets (RAB)'!E10-Zonesubstationtransformation!T77</f>
        <v>-207191.5911437379</v>
      </c>
      <c r="E11" s="73">
        <f>'[7]4. Assets (RAB)'!F10-Zonesubstationtransformation!U77</f>
        <v>-235916.90800778419</v>
      </c>
      <c r="F11" s="73">
        <f>'[7]4. Assets (RAB)'!G10-Zonesubstationtransformation!V77</f>
        <v>-270849.70820071083</v>
      </c>
      <c r="G11" s="73">
        <f>'[7]4. Assets (RAB)'!H10-Zonesubstationtransformation!W77</f>
        <v>-257390.78683295025</v>
      </c>
      <c r="H11" s="73">
        <f>'[7]4. Assets (RAB)'!I10-Zonesubstationtransformation!X77</f>
        <v>-305146.78284405021</v>
      </c>
      <c r="I11" s="73">
        <f>'[7]4. Assets (RAB)'!J10-Zonesubstationtransformation!Y77</f>
        <v>-371354.6841423107</v>
      </c>
      <c r="J11" s="73">
        <f>'[7]4. Assets (RAB)'!K10-Zonesubstationtransformation!Z77</f>
        <v>-440155.05687099876</v>
      </c>
      <c r="K11" s="72">
        <f>'[8]3.3 Assets (RAB)'!$E$15-Zonesubstationtransformation!AA77</f>
        <v>-459770.18653048895</v>
      </c>
      <c r="L11" s="72">
        <f>'[9]3.3 Assets (RAB)'!$E$15-Zonesubstationtransformation!AB77</f>
        <v>-476663.27216983179</v>
      </c>
      <c r="M11" s="72">
        <f>'[10]3.3 Assets (RAB)'!$C$15/1000-Zonesubstationtransformation!AC77</f>
        <v>-509766.62625830504</v>
      </c>
      <c r="O11" s="78"/>
      <c r="P11" s="78"/>
      <c r="Q11" s="78"/>
      <c r="R11" s="78"/>
      <c r="S11" s="78"/>
      <c r="T11" s="78"/>
      <c r="U11" s="78"/>
      <c r="V11" s="78"/>
      <c r="W11" s="78"/>
      <c r="AA11" s="78"/>
      <c r="AB11" s="78"/>
      <c r="AC11" s="78"/>
      <c r="AD11" s="78"/>
      <c r="AE11" s="78"/>
      <c r="AF11" s="78"/>
      <c r="AG11" s="78"/>
      <c r="AH11" s="78"/>
      <c r="AI11" s="78"/>
      <c r="AJ11" s="78"/>
    </row>
    <row r="12" spans="1:36">
      <c r="A12" t="s">
        <v>2</v>
      </c>
      <c r="B12" s="17" t="s">
        <v>30</v>
      </c>
      <c r="C12" s="73">
        <f>'[11]4. Assets (RAB)'!D10</f>
        <v>-49530.346006633255</v>
      </c>
      <c r="D12" s="73">
        <f>'[11]4. Assets (RAB)'!E10</f>
        <v>-50521.926211270031</v>
      </c>
      <c r="E12" s="73">
        <f>'[11]4. Assets (RAB)'!F10</f>
        <v>-51107.876951435494</v>
      </c>
      <c r="F12" s="73">
        <f>'[11]4. Assets (RAB)'!G10</f>
        <v>-54862.072268019823</v>
      </c>
      <c r="G12" s="73">
        <f>'[11]4. Assets (RAB)'!H10</f>
        <v>-58379.576308968622</v>
      </c>
      <c r="H12" s="73">
        <f>'[11]4. Assets (RAB)'!I10</f>
        <v>-50513.703111735944</v>
      </c>
      <c r="I12" s="73">
        <f>'[11]4. Assets (RAB)'!J10</f>
        <v>-55019.391495229938</v>
      </c>
      <c r="J12" s="73">
        <f>'[11]4. Assets (RAB)'!K10</f>
        <v>-60167.55945892715</v>
      </c>
      <c r="K12" s="72">
        <f>'[12]3.3 Assets (RAB)'!$E$15</f>
        <v>-64915.93216032887</v>
      </c>
      <c r="L12" s="72">
        <f>'[13]3.3 Assets (RAB)'!$E$15/1000</f>
        <v>-70805.733439347867</v>
      </c>
      <c r="M12" s="72">
        <f>'[14]3.3 Assets (RAB)'!$C$15/1000</f>
        <v>-78958.452000000005</v>
      </c>
      <c r="O12" s="78"/>
      <c r="P12" s="78"/>
      <c r="Q12" s="78"/>
      <c r="R12" s="78"/>
      <c r="S12" s="78"/>
      <c r="T12" s="78"/>
      <c r="U12" s="78"/>
      <c r="V12" s="78"/>
      <c r="W12" s="78"/>
      <c r="AA12" s="78"/>
      <c r="AB12" s="78"/>
      <c r="AC12" s="78"/>
      <c r="AD12" s="78"/>
      <c r="AE12" s="78"/>
      <c r="AF12" s="78"/>
      <c r="AG12" s="78"/>
      <c r="AH12" s="78"/>
      <c r="AI12" s="78"/>
      <c r="AJ12" s="78"/>
    </row>
    <row r="13" spans="1:36">
      <c r="A13" t="s">
        <v>3</v>
      </c>
      <c r="B13" s="17" t="s">
        <v>30</v>
      </c>
      <c r="C13" s="73">
        <f>'[15]4. Assets (RAB)'!D10-Zonesubstationtransformation!S79</f>
        <v>-128220.93601165245</v>
      </c>
      <c r="D13" s="73">
        <f>'[15]4. Assets (RAB)'!E10-Zonesubstationtransformation!T79</f>
        <v>-141984.9076533982</v>
      </c>
      <c r="E13" s="73">
        <f>'[15]4. Assets (RAB)'!F10-Zonesubstationtransformation!U79</f>
        <v>-159310.56527367063</v>
      </c>
      <c r="F13" s="73">
        <f>'[15]4. Assets (RAB)'!G10-Zonesubstationtransformation!V79</f>
        <v>-173043.37326207227</v>
      </c>
      <c r="G13" s="73">
        <f>'[15]4. Assets (RAB)'!H10-Zonesubstationtransformation!W79</f>
        <v>-213127.60325396963</v>
      </c>
      <c r="H13" s="73">
        <f>'[15]4. Assets (RAB)'!I10-Zonesubstationtransformation!X79</f>
        <v>-194668.26503615751</v>
      </c>
      <c r="I13" s="73">
        <f>'[15]4. Assets (RAB)'!J10-Zonesubstationtransformation!Y79</f>
        <v>-202853.93707845447</v>
      </c>
      <c r="J13" s="73">
        <f>'[15]4. Assets (RAB)'!K10-Zonesubstationtransformation!Z79</f>
        <v>-207001.33183270285</v>
      </c>
      <c r="K13" s="72">
        <f>'[16]3.3 Assets (RAB)'!$E$15-Zonesubstationtransformation!AA79</f>
        <v>-206105.19287543232</v>
      </c>
      <c r="L13" s="72">
        <f>'[17]3.3 Assets (RAB)'!$E$15/1000-Zonesubstationtransformation!AB79</f>
        <v>-179471.00453561396</v>
      </c>
      <c r="M13" s="72">
        <f>'[18]3.3 Assets (RAB)'!$C$15/1000-Zonesubstationtransformation!AC79</f>
        <v>-192890.79608178945</v>
      </c>
      <c r="O13" s="78"/>
      <c r="P13" s="78"/>
      <c r="Q13" s="78"/>
      <c r="R13" s="78"/>
      <c r="S13" s="78"/>
      <c r="T13" s="78"/>
      <c r="U13" s="78"/>
      <c r="V13" s="78"/>
      <c r="W13" s="78"/>
      <c r="AA13" s="78"/>
      <c r="AB13" s="78"/>
      <c r="AC13" s="78"/>
      <c r="AD13" s="78"/>
      <c r="AE13" s="78"/>
      <c r="AF13" s="78"/>
      <c r="AG13" s="78"/>
      <c r="AH13" s="78"/>
      <c r="AI13" s="78"/>
      <c r="AJ13" s="78"/>
    </row>
    <row r="14" spans="1:36">
      <c r="A14" t="s">
        <v>4</v>
      </c>
      <c r="B14" s="17" t="s">
        <v>30</v>
      </c>
      <c r="C14" s="73">
        <f>'[19]4. Assets (RAB)'!D10-Zonesubstationtransformation!S80</f>
        <v>-176052.18216029034</v>
      </c>
      <c r="D14" s="73">
        <f>'[19]4. Assets (RAB)'!E10-Zonesubstationtransformation!T80</f>
        <v>-202668.33513855838</v>
      </c>
      <c r="E14" s="73">
        <f>'[19]4. Assets (RAB)'!F10-Zonesubstationtransformation!U80</f>
        <v>-218267.50102093563</v>
      </c>
      <c r="F14" s="73">
        <f>'[19]4. Assets (RAB)'!G10-Zonesubstationtransformation!V80</f>
        <v>-219282.16226548326</v>
      </c>
      <c r="G14" s="73">
        <f>'[19]4. Assets (RAB)'!H10-Zonesubstationtransformation!W80</f>
        <v>-235535.13990712949</v>
      </c>
      <c r="H14" s="73">
        <f>'[19]4. Assets (RAB)'!I10-Zonesubstationtransformation!X80</f>
        <v>-261852.21071753043</v>
      </c>
      <c r="I14" s="73">
        <f>'[19]4. Assets (RAB)'!J10-Zonesubstationtransformation!Y80</f>
        <v>-271874.87927217537</v>
      </c>
      <c r="J14" s="73">
        <f>'[19]4. Assets (RAB)'!K10-Zonesubstationtransformation!Z80</f>
        <v>-288130.93583222729</v>
      </c>
      <c r="K14" s="72">
        <f>'[20]3.3 Assets (RAB)'!$E$15-Zonesubstationtransformation!AA80</f>
        <v>-307281.09685157682</v>
      </c>
      <c r="L14" s="72">
        <f>'[21]3.3 Assets (RAB)'!$E$15/1000-Zonesubstationtransformation!AB80</f>
        <v>-284119.98735616409</v>
      </c>
      <c r="M14" s="72">
        <f>'[22]3.3 Assets (RAB)'!$C$15/1000-Zonesubstationtransformation!AC80</f>
        <v>-255747.9269503463</v>
      </c>
      <c r="O14" s="78"/>
      <c r="P14" s="78"/>
      <c r="Q14" s="78"/>
      <c r="R14" s="78"/>
      <c r="S14" s="78"/>
      <c r="T14" s="78"/>
      <c r="U14" s="78"/>
      <c r="V14" s="78"/>
      <c r="W14" s="78"/>
      <c r="AA14" s="78"/>
      <c r="AB14" s="78"/>
      <c r="AC14" s="78"/>
      <c r="AD14" s="78"/>
      <c r="AE14" s="78"/>
      <c r="AF14" s="78"/>
      <c r="AG14" s="78"/>
      <c r="AH14" s="78"/>
      <c r="AI14" s="78"/>
      <c r="AJ14" s="78"/>
    </row>
    <row r="15" spans="1:36">
      <c r="A15" t="s">
        <v>10</v>
      </c>
      <c r="B15" s="17" t="s">
        <v>30</v>
      </c>
      <c r="C15" s="72">
        <f>'[23]4. Assets (RAB)'!D10-Zonesubstationtransformation!S81</f>
        <v>-207988.59932423526</v>
      </c>
      <c r="D15" s="72">
        <f>'[23]4. Assets (RAB)'!E10-Zonesubstationtransformation!T81</f>
        <v>-226761.13680730923</v>
      </c>
      <c r="E15" s="72">
        <f>'[23]4. Assets (RAB)'!F10-Zonesubstationtransformation!U81</f>
        <v>-229084.78868584242</v>
      </c>
      <c r="F15" s="72">
        <f>'[23]4. Assets (RAB)'!G10-Zonesubstationtransformation!V81</f>
        <v>-246347.81729733845</v>
      </c>
      <c r="G15" s="72">
        <f>'[23]4. Assets (RAB)'!H10-Zonesubstationtransformation!W81</f>
        <v>-261721.9264321253</v>
      </c>
      <c r="H15" s="72">
        <f>'[23]4. Assets (RAB)'!I10-Zonesubstationtransformation!X81</f>
        <v>-258272.75073881188</v>
      </c>
      <c r="I15" s="72">
        <f>'[23]4. Assets (RAB)'!J10-Zonesubstationtransformation!Y81</f>
        <v>-287724.60134052968</v>
      </c>
      <c r="J15" s="72">
        <f>'[23]4. Assets (RAB)'!K10-Zonesubstationtransformation!Z81</f>
        <v>-293124.14512625436</v>
      </c>
      <c r="K15" s="72">
        <f>'[24]3.3 Assets (RAB)'!$E$15-Zonesubstationtransformation!AA81</f>
        <v>-309357.35134812415</v>
      </c>
      <c r="L15" s="72">
        <f>'[25]3.3 Assets (RAB)'!$E$15/1000-Zonesubstationtransformation!AB81</f>
        <v>-299943.28119539015</v>
      </c>
      <c r="M15" s="72">
        <f>'[26]3.3 Assets (RAB)'!$C$15/1000-Zonesubstationtransformation!AC81</f>
        <v>-306034.43630256673</v>
      </c>
      <c r="O15" s="78"/>
      <c r="P15" s="78"/>
      <c r="Q15" s="78"/>
      <c r="R15" s="78"/>
      <c r="S15" s="78"/>
      <c r="T15" s="78"/>
      <c r="U15" s="78"/>
      <c r="V15" s="78"/>
      <c r="W15" s="78"/>
      <c r="AA15" s="78"/>
      <c r="AB15" s="78"/>
      <c r="AC15" s="78"/>
      <c r="AD15" s="78"/>
      <c r="AE15" s="78"/>
      <c r="AF15" s="78"/>
      <c r="AG15" s="78"/>
      <c r="AH15" s="78"/>
      <c r="AI15" s="78"/>
      <c r="AJ15" s="78"/>
    </row>
    <row r="16" spans="1:36">
      <c r="A16" t="s">
        <v>5</v>
      </c>
      <c r="B16" s="17" t="s">
        <v>30</v>
      </c>
      <c r="C16" s="72">
        <f>'[27]4. Assets (RAB)'!D10-Zonesubstationtransformation!S82</f>
        <v>-140043.0050475086</v>
      </c>
      <c r="D16" s="72">
        <f>'[27]4. Assets (RAB)'!E10-Zonesubstationtransformation!T82</f>
        <v>-156472.04362410592</v>
      </c>
      <c r="E16" s="72">
        <f>'[27]4. Assets (RAB)'!F10-Zonesubstationtransformation!U82</f>
        <v>-180997.08904792654</v>
      </c>
      <c r="F16" s="72">
        <f>'[27]4. Assets (RAB)'!G10-Zonesubstationtransformation!V82</f>
        <v>-206911.64155623681</v>
      </c>
      <c r="G16" s="72">
        <f>'[27]4. Assets (RAB)'!H10-Zonesubstationtransformation!W82</f>
        <v>-244412.29779295358</v>
      </c>
      <c r="H16" s="72">
        <f>'[27]4. Assets (RAB)'!I10-Zonesubstationtransformation!X82</f>
        <v>-274115.31227820856</v>
      </c>
      <c r="I16" s="72">
        <f>'[27]4. Assets (RAB)'!J10-Zonesubstationtransformation!Y82</f>
        <v>-247797.69800593675</v>
      </c>
      <c r="J16" s="72">
        <f>'[27]4. Assets (RAB)'!K10-Zonesubstationtransformation!Z82</f>
        <v>-283253.49337193172</v>
      </c>
      <c r="K16" s="79">
        <f>'[28]3.3 Assets (RAB)'!$E$15-Zonesubstationtransformation!AA82</f>
        <v>-305700.77361603378</v>
      </c>
      <c r="L16" s="72">
        <f>'[29]3.3 Assets (RAB)'!$E$15-Zonesubstationtransformation!AB82</f>
        <v>-255799.02237614393</v>
      </c>
      <c r="M16" s="72">
        <f>'[30]3.3 Assets (RAB)'!$C$15/1000-Zonesubstationtransformation!AC82</f>
        <v>-283740.76833818923</v>
      </c>
      <c r="O16" s="78"/>
      <c r="P16" s="78"/>
      <c r="Q16" s="78"/>
      <c r="R16" s="78"/>
      <c r="S16" s="78"/>
      <c r="T16" s="78"/>
      <c r="U16" s="78"/>
      <c r="V16" s="78"/>
      <c r="W16" s="78"/>
      <c r="AA16" s="78"/>
      <c r="AB16" s="78"/>
      <c r="AC16" s="78"/>
      <c r="AD16" s="78"/>
      <c r="AE16" s="78"/>
      <c r="AF16" s="78"/>
      <c r="AG16" s="78"/>
      <c r="AH16" s="78"/>
      <c r="AI16" s="78"/>
      <c r="AJ16" s="78"/>
    </row>
    <row r="17" spans="1:36">
      <c r="A17" t="s">
        <v>6</v>
      </c>
      <c r="B17" s="17" t="s">
        <v>30</v>
      </c>
      <c r="C17" s="72">
        <f>'[31]4. Assets (RAB)'!D10</f>
        <v>-29220.598418442733</v>
      </c>
      <c r="D17" s="72">
        <f>'[31]4. Assets (RAB)'!E10</f>
        <v>-31713.910559852517</v>
      </c>
      <c r="E17" s="72">
        <f>'[31]4. Assets (RAB)'!F10</f>
        <v>-32953.009665072146</v>
      </c>
      <c r="F17" s="72">
        <f>'[31]4. Assets (RAB)'!G10</f>
        <v>-34153.517460740855</v>
      </c>
      <c r="G17" s="72">
        <f>'[31]4. Assets (RAB)'!H10</f>
        <v>-35426.078082974593</v>
      </c>
      <c r="H17" s="72">
        <f>'[31]4. Assets (RAB)'!I10</f>
        <v>-37018.887065742354</v>
      </c>
      <c r="I17" s="72">
        <f>'[31]4. Assets (RAB)'!J10</f>
        <v>-44475.252429240143</v>
      </c>
      <c r="J17" s="72">
        <f>'[31]4. Assets (RAB)'!K10</f>
        <v>-52565.461213156748</v>
      </c>
      <c r="K17" s="72">
        <f>'[32]3.3 Assets (RAB)'!$E$15</f>
        <v>-58369.901011614966</v>
      </c>
      <c r="L17" s="72">
        <f>'[33]3.3 Assets (RAB)'!$E$15/1000</f>
        <v>-61453.443724107761</v>
      </c>
      <c r="M17" s="72">
        <f>'[34]3.3 Assets (RAB)'!$C$15/1000</f>
        <v>-74463.361478907464</v>
      </c>
      <c r="O17" s="78"/>
      <c r="P17" s="78"/>
      <c r="Q17" s="78"/>
      <c r="R17" s="78"/>
      <c r="S17" s="78"/>
      <c r="T17" s="78"/>
      <c r="U17" s="78"/>
      <c r="V17" s="78"/>
      <c r="W17" s="78"/>
      <c r="AA17" s="78"/>
      <c r="AB17" s="78"/>
      <c r="AC17" s="78"/>
      <c r="AD17" s="78"/>
      <c r="AE17" s="78"/>
      <c r="AF17" s="78"/>
      <c r="AG17" s="78"/>
      <c r="AH17" s="78"/>
      <c r="AI17" s="78"/>
      <c r="AJ17" s="78"/>
    </row>
    <row r="18" spans="1:36">
      <c r="A18" t="s">
        <v>7</v>
      </c>
      <c r="B18" s="17" t="s">
        <v>30</v>
      </c>
      <c r="C18" s="72">
        <f>'[35]4. Assets (RAB)'!D10</f>
        <v>-77661.587309336406</v>
      </c>
      <c r="D18" s="72">
        <f>'[35]4. Assets (RAB)'!E10</f>
        <v>-81993.927730056923</v>
      </c>
      <c r="E18" s="72">
        <f>'[35]4. Assets (RAB)'!F10</f>
        <v>-85462.954533099983</v>
      </c>
      <c r="F18" s="72">
        <f>'[35]4. Assets (RAB)'!G10</f>
        <v>-92714.426115943046</v>
      </c>
      <c r="G18" s="72">
        <f>'[35]4. Assets (RAB)'!H10</f>
        <v>-97108.533098771266</v>
      </c>
      <c r="H18" s="72">
        <f>'[35]4. Assets (RAB)'!I10</f>
        <v>-91578.358235293563</v>
      </c>
      <c r="I18" s="72">
        <f>'[35]4. Assets (RAB)'!J10</f>
        <v>-102051.4872868394</v>
      </c>
      <c r="J18" s="72">
        <f>'[35]4. Assets (RAB)'!K10</f>
        <v>-113068.91101421771</v>
      </c>
      <c r="K18" s="72">
        <f>'[36]3.3 Assets (RAB)'!$E$15</f>
        <v>-123402.92996482523</v>
      </c>
      <c r="L18" s="72">
        <f>'[37]3.3 Assets (RAB)'!$E$15/1000</f>
        <v>-136847.17723917309</v>
      </c>
      <c r="M18" s="72">
        <f>'[38]3.3 Assets (RAB)'!$C$15/1000</f>
        <v>-148874.35800000001</v>
      </c>
      <c r="O18" s="78"/>
      <c r="P18" s="78"/>
      <c r="Q18" s="78"/>
      <c r="R18" s="78"/>
      <c r="S18" s="78"/>
      <c r="T18" s="78"/>
      <c r="U18" s="78"/>
      <c r="V18" s="78"/>
      <c r="W18" s="78"/>
      <c r="AA18" s="78"/>
      <c r="AB18" s="78"/>
      <c r="AC18" s="78"/>
      <c r="AD18" s="78"/>
      <c r="AE18" s="78"/>
      <c r="AF18" s="78"/>
      <c r="AG18" s="78"/>
      <c r="AH18" s="78"/>
      <c r="AI18" s="78"/>
      <c r="AJ18" s="78"/>
    </row>
    <row r="19" spans="1:36">
      <c r="A19" t="s">
        <v>8</v>
      </c>
      <c r="B19" s="17" t="s">
        <v>30</v>
      </c>
      <c r="C19" s="72">
        <f>'[39]4. Assets (RAB)'!D10-Zonesubstationtransformation!S85</f>
        <v>-129465.15764010455</v>
      </c>
      <c r="D19" s="72">
        <f>'[39]4. Assets (RAB)'!E10-Zonesubstationtransformation!T85</f>
        <v>-143159.84799020347</v>
      </c>
      <c r="E19" s="72">
        <f>'[39]4. Assets (RAB)'!F10-Zonesubstationtransformation!U85</f>
        <v>-150943.07370331354</v>
      </c>
      <c r="F19" s="72">
        <f>'[39]4. Assets (RAB)'!G10-Zonesubstationtransformation!V85</f>
        <v>-162442.54687823248</v>
      </c>
      <c r="G19" s="72">
        <f>'[39]4. Assets (RAB)'!H10-Zonesubstationtransformation!W85</f>
        <v>-176916.75407031088</v>
      </c>
      <c r="H19" s="72">
        <f>'[39]4. Assets (RAB)'!I10-Zonesubstationtransformation!X85</f>
        <v>-161699.01377254829</v>
      </c>
      <c r="I19" s="72">
        <f>'[39]4. Assets (RAB)'!J10-Zonesubstationtransformation!Y85</f>
        <v>-174180.14979919355</v>
      </c>
      <c r="J19" s="72">
        <f>'[39]4. Assets (RAB)'!K10-Zonesubstationtransformation!Z85</f>
        <v>-193652.00695926757</v>
      </c>
      <c r="K19" s="72">
        <f>'[40]3.3 Assets (RAB)'!$E$15-Zonesubstationtransformation!AA85</f>
        <v>-211624.02173006174</v>
      </c>
      <c r="L19" s="72">
        <f>'[41]3.3 Assets (RAB)'!$E$15/1000-Zonesubstationtransformation!AB85</f>
        <v>-231646.68115564022</v>
      </c>
      <c r="M19" s="72">
        <f>'[42]3.3 Assets (RAB)'!$C$15/1000-Zonesubstationtransformation!AC85</f>
        <v>-195967.32664797441</v>
      </c>
      <c r="O19" s="78"/>
      <c r="P19" s="78"/>
      <c r="Q19" s="78"/>
      <c r="R19" s="78"/>
      <c r="S19" s="78"/>
      <c r="T19" s="78"/>
      <c r="U19" s="78"/>
      <c r="V19" s="78"/>
      <c r="W19" s="78"/>
      <c r="AA19" s="78"/>
      <c r="AB19" s="78"/>
      <c r="AC19" s="78"/>
      <c r="AD19" s="78"/>
      <c r="AE19" s="78"/>
      <c r="AF19" s="78"/>
      <c r="AG19" s="78"/>
      <c r="AH19" s="78"/>
      <c r="AI19" s="78"/>
      <c r="AJ19" s="78"/>
    </row>
    <row r="20" spans="1:36">
      <c r="A20" t="s">
        <v>73</v>
      </c>
      <c r="B20" s="17" t="s">
        <v>30</v>
      </c>
      <c r="C20" s="72">
        <f>'[43]4. Assets (RAB)'!D10</f>
        <v>-56565.419646917799</v>
      </c>
      <c r="D20" s="72">
        <f>'[43]4. Assets (RAB)'!E10</f>
        <v>-66700.723362476376</v>
      </c>
      <c r="E20" s="72">
        <f>'[43]4. Assets (RAB)'!F10</f>
        <v>-73552.324646312627</v>
      </c>
      <c r="F20" s="72">
        <f>'[43]4. Assets (RAB)'!G10</f>
        <v>-82384.991379396903</v>
      </c>
      <c r="G20" s="72">
        <f>'[43]4. Assets (RAB)'!H10</f>
        <v>-88913.31548786597</v>
      </c>
      <c r="H20" s="72">
        <f>'[43]4. Assets (RAB)'!I10</f>
        <v>-130732.86402114748</v>
      </c>
      <c r="I20" s="72">
        <f>'[43]4. Assets (RAB)'!J10</f>
        <v>-112282.34545229192</v>
      </c>
      <c r="J20" s="72">
        <f>'[43]4. Assets (RAB)'!K10</f>
        <v>-129504.23772903973</v>
      </c>
      <c r="K20" s="72">
        <f>'[44]3.3 Assets (RAB)'!$E$15</f>
        <v>-130471.88508236363</v>
      </c>
      <c r="L20" s="72">
        <f>'[45]3.3 Assets (RAB)'!$E$15/1000</f>
        <v>-134583.4136178302</v>
      </c>
      <c r="M20" s="72">
        <f>'[46]3.3 Assets (RAB)'!$C$15/1000</f>
        <v>-182299.03257606318</v>
      </c>
      <c r="O20" s="78"/>
      <c r="P20" s="78"/>
      <c r="Q20" s="78"/>
      <c r="R20" s="78"/>
      <c r="S20" s="78"/>
      <c r="T20" s="78"/>
      <c r="U20" s="78"/>
      <c r="V20" s="78"/>
      <c r="W20" s="78"/>
      <c r="AA20" s="78"/>
      <c r="AB20" s="78"/>
      <c r="AC20" s="78"/>
      <c r="AD20" s="78"/>
      <c r="AE20" s="78"/>
      <c r="AF20" s="78"/>
      <c r="AG20" s="78"/>
      <c r="AH20" s="78"/>
      <c r="AI20" s="78"/>
      <c r="AJ20" s="78"/>
    </row>
    <row r="21" spans="1:36">
      <c r="A21" t="s">
        <v>54</v>
      </c>
      <c r="B21" s="17" t="s">
        <v>30</v>
      </c>
      <c r="C21" s="72">
        <f>'[47]4. Assets (RAB)'!D11</f>
        <v>-43002.780182764465</v>
      </c>
      <c r="D21" s="72">
        <f>'[47]4. Assets (RAB)'!E11</f>
        <v>-50615.401205290553</v>
      </c>
      <c r="E21" s="72">
        <f>'[47]4. Assets (RAB)'!F11</f>
        <v>-51565.886646444778</v>
      </c>
      <c r="F21" s="72">
        <f>'[47]4. Assets (RAB)'!G11</f>
        <v>-45703.966411886177</v>
      </c>
      <c r="G21" s="72">
        <f>'[47]4. Assets (RAB)'!H11</f>
        <v>-53533.931814740274</v>
      </c>
      <c r="H21" s="72">
        <f>'[47]4. Assets (RAB)'!I11</f>
        <v>-61151.18369106482</v>
      </c>
      <c r="I21" s="72">
        <f>'[47]4. Assets (RAB)'!J11</f>
        <v>-67071.747018849259</v>
      </c>
      <c r="J21" s="72">
        <f>'[47]4. Assets (RAB)'!K11</f>
        <v>-69759.442766199165</v>
      </c>
      <c r="K21" s="72">
        <f>'[48]3.3 Assets (RAB)'!$E$15</f>
        <v>-73072.839130016902</v>
      </c>
      <c r="L21" s="72">
        <f>'[49]3.3 Assets (RAB)'!$E$15/1000</f>
        <v>-78151.523411840622</v>
      </c>
      <c r="M21" s="72">
        <f>'[50]3.3 Assets (RAB)'!$C$15/1000</f>
        <v>-80892.107999999993</v>
      </c>
      <c r="O21" s="78"/>
      <c r="P21" s="78"/>
      <c r="Q21" s="78"/>
      <c r="R21" s="78"/>
      <c r="S21" s="78"/>
      <c r="T21" s="78"/>
      <c r="U21" s="78"/>
      <c r="V21" s="78"/>
      <c r="W21" s="78"/>
      <c r="AA21" s="78"/>
      <c r="AB21" s="78"/>
      <c r="AC21" s="78"/>
      <c r="AD21" s="78"/>
      <c r="AE21" s="78"/>
      <c r="AF21" s="78"/>
      <c r="AG21" s="78"/>
      <c r="AH21" s="78"/>
      <c r="AI21" s="78"/>
      <c r="AJ21" s="78"/>
    </row>
    <row r="22" spans="1:36">
      <c r="A22" t="s">
        <v>9</v>
      </c>
      <c r="B22" s="17" t="s">
        <v>30</v>
      </c>
      <c r="C22" s="74">
        <f>'[51]4.Assets'!D$10</f>
        <v>-70486.626808111818</v>
      </c>
      <c r="D22" s="74">
        <f>'[51]4.Assets'!E$10</f>
        <v>-74606.338306308913</v>
      </c>
      <c r="E22" s="74">
        <f>'[51]4.Assets'!F$10</f>
        <v>-79444.021156553732</v>
      </c>
      <c r="F22" s="74">
        <f>'[51]4.Assets'!G$10</f>
        <v>-76668.799873429656</v>
      </c>
      <c r="G22" s="74">
        <f>'[51]4.Assets'!H$10</f>
        <v>-76669.548274234519</v>
      </c>
      <c r="H22" s="74">
        <f>'[51]4.Assets'!I$10</f>
        <v>-64707.860204395642</v>
      </c>
      <c r="I22" s="74">
        <f>'[51]4.Assets'!J$10</f>
        <v>-81873.902372155891</v>
      </c>
      <c r="J22" s="74">
        <f>'[51]4.Assets'!K$10</f>
        <v>-93872.261597680204</v>
      </c>
      <c r="K22" s="72">
        <f>'[52]3.3 Assets (RAB)'!$E$15</f>
        <v>-103287.30342356479</v>
      </c>
      <c r="L22" s="72">
        <f>'[53]3.3 Assets (RAB)'!$E$15</f>
        <v>-118489.52537029621</v>
      </c>
      <c r="M22" s="72">
        <f>'[54]3.3 Assets (RAB)'!$C$15/1000</f>
        <v>-137674.96273345972</v>
      </c>
      <c r="O22" s="78"/>
      <c r="P22" s="78"/>
      <c r="Q22" s="78"/>
      <c r="R22" s="78"/>
      <c r="S22" s="78"/>
      <c r="T22" s="78"/>
      <c r="U22" s="78"/>
      <c r="V22" s="78"/>
      <c r="W22" s="78"/>
      <c r="AA22" s="78"/>
      <c r="AB22" s="78"/>
      <c r="AC22" s="78"/>
      <c r="AD22" s="78"/>
      <c r="AE22" s="78"/>
      <c r="AF22" s="78"/>
      <c r="AG22" s="78"/>
      <c r="AH22" s="78"/>
      <c r="AI22" s="78"/>
      <c r="AJ22" s="78"/>
    </row>
    <row r="23" spans="1:36">
      <c r="J23" s="25"/>
      <c r="K23" s="25"/>
      <c r="L23" s="25"/>
      <c r="M23" s="25"/>
      <c r="N23" s="50"/>
    </row>
    <row r="24" spans="1:36">
      <c r="A24" s="85" t="str">
        <f>CONCATENATE(B1)</f>
        <v>Real 2016</v>
      </c>
      <c r="J24" s="25"/>
      <c r="K24" s="25"/>
      <c r="L24" s="25"/>
      <c r="M24" s="25"/>
    </row>
    <row r="25" spans="1:36">
      <c r="C25" s="2">
        <v>2006</v>
      </c>
      <c r="D25" s="2">
        <v>2007</v>
      </c>
      <c r="E25" s="2">
        <v>2008</v>
      </c>
      <c r="F25" s="2">
        <v>2009</v>
      </c>
      <c r="G25" s="2">
        <v>2010</v>
      </c>
      <c r="H25" s="2">
        <v>2011</v>
      </c>
      <c r="I25" s="2">
        <v>2012</v>
      </c>
      <c r="J25" s="2">
        <v>2013</v>
      </c>
      <c r="K25" s="2">
        <v>2014</v>
      </c>
      <c r="L25" s="2">
        <v>2015</v>
      </c>
      <c r="M25" s="2">
        <v>2016</v>
      </c>
      <c r="N25" s="83" t="s">
        <v>133</v>
      </c>
      <c r="O25" s="2"/>
      <c r="P25" s="2"/>
      <c r="Q25" s="2"/>
      <c r="R25" s="2"/>
      <c r="S25" s="2"/>
      <c r="T25" s="2"/>
      <c r="U25" s="2"/>
      <c r="V25" s="2"/>
      <c r="W25" s="2"/>
      <c r="X25" s="2"/>
      <c r="Y25" s="2"/>
      <c r="Z25" s="2"/>
      <c r="AA25" s="2"/>
      <c r="AB25" s="2"/>
      <c r="AC25" s="2"/>
      <c r="AD25" s="2"/>
      <c r="AE25" s="2"/>
      <c r="AF25" s="2"/>
      <c r="AG25" s="2"/>
      <c r="AH25" s="2"/>
    </row>
    <row r="26" spans="1:36">
      <c r="A26" s="2" t="s">
        <v>1</v>
      </c>
      <c r="B26" s="17" t="s">
        <v>30</v>
      </c>
      <c r="C26" s="71">
        <f>C10*C$3</f>
        <v>-31016.580180381156</v>
      </c>
      <c r="D26" s="71">
        <f t="shared" ref="D26:L26" si="0">D10*D$3</f>
        <v>-31946.209637973065</v>
      </c>
      <c r="E26" s="71">
        <f t="shared" si="0"/>
        <v>-32802.539930509294</v>
      </c>
      <c r="F26" s="71">
        <f t="shared" si="0"/>
        <v>-34139.626060547787</v>
      </c>
      <c r="G26" s="71">
        <f t="shared" si="0"/>
        <v>-35699.928639734848</v>
      </c>
      <c r="H26" s="71">
        <f t="shared" si="0"/>
        <v>-38342.059052448283</v>
      </c>
      <c r="I26" s="71">
        <f t="shared" si="0"/>
        <v>-41214.068593294542</v>
      </c>
      <c r="J26" s="71">
        <f t="shared" si="0"/>
        <v>-44253.656697148916</v>
      </c>
      <c r="K26" s="71">
        <f t="shared" si="0"/>
        <v>-47592.597214655514</v>
      </c>
      <c r="L26" s="71">
        <f t="shared" si="0"/>
        <v>-56842.127485928708</v>
      </c>
      <c r="M26" s="71">
        <f t="shared" ref="M26" si="1">M10*M$3</f>
        <v>-61552.488929889303</v>
      </c>
      <c r="N26" s="82">
        <f>-AVERAGE(I26:M26)/1000</f>
        <v>50.290987784183393</v>
      </c>
      <c r="O26" s="2"/>
      <c r="P26" s="2"/>
      <c r="Q26" s="2"/>
      <c r="R26" s="2"/>
      <c r="S26" s="2"/>
      <c r="T26" s="2"/>
      <c r="U26" s="2"/>
      <c r="V26" s="2"/>
      <c r="W26" s="2"/>
      <c r="X26" s="2"/>
      <c r="Y26" s="24"/>
      <c r="Z26" s="24"/>
      <c r="AA26" s="24"/>
      <c r="AB26" s="24"/>
      <c r="AC26" s="24"/>
      <c r="AD26" s="24"/>
      <c r="AE26" s="24"/>
      <c r="AF26" s="24"/>
      <c r="AG26" s="24"/>
      <c r="AH26" s="24"/>
    </row>
    <row r="27" spans="1:36">
      <c r="A27" s="2" t="s">
        <v>78</v>
      </c>
      <c r="B27" s="17" t="s">
        <v>30</v>
      </c>
      <c r="C27" s="71">
        <f>C11*C$3</f>
        <v>-243377.35145557651</v>
      </c>
      <c r="D27" s="71">
        <f t="shared" ref="D27:L27" si="2">D11*D$3</f>
        <v>-263176.38597934379</v>
      </c>
      <c r="E27" s="71">
        <f t="shared" si="2"/>
        <v>-291255.44198491878</v>
      </c>
      <c r="F27" s="71">
        <f t="shared" si="2"/>
        <v>-322440.12881037005</v>
      </c>
      <c r="G27" s="71">
        <f t="shared" si="2"/>
        <v>-300243.75982634712</v>
      </c>
      <c r="H27" s="71">
        <f t="shared" si="2"/>
        <v>-346399.85668571229</v>
      </c>
      <c r="I27" s="71">
        <f t="shared" si="2"/>
        <v>-409308.77009673521</v>
      </c>
      <c r="J27" s="71">
        <f t="shared" si="2"/>
        <v>-474677.02211578295</v>
      </c>
      <c r="K27" s="71">
        <f t="shared" si="2"/>
        <v>-482583.21105299413</v>
      </c>
      <c r="L27" s="71">
        <f t="shared" si="2"/>
        <v>-491866.41593509848</v>
      </c>
      <c r="M27" s="71">
        <f t="shared" ref="M27" si="3">M11*M$3</f>
        <v>-517290.8569041841</v>
      </c>
      <c r="N27" s="82">
        <f t="shared" ref="N27:N38" si="4">-AVERAGE(I27:M27)/1000</f>
        <v>475.14525522095897</v>
      </c>
      <c r="O27" s="2"/>
      <c r="P27" s="2"/>
      <c r="Q27" s="2"/>
      <c r="R27" s="2"/>
      <c r="S27" s="2"/>
      <c r="T27" s="2"/>
      <c r="U27" s="2"/>
      <c r="V27" s="2"/>
      <c r="W27" s="2"/>
      <c r="X27" s="2"/>
      <c r="Y27" s="24"/>
      <c r="Z27" s="24"/>
      <c r="AA27" s="24"/>
      <c r="AB27" s="24"/>
      <c r="AC27" s="24"/>
      <c r="AD27" s="24"/>
      <c r="AE27" s="24"/>
      <c r="AF27" s="24"/>
      <c r="AG27" s="24"/>
      <c r="AH27" s="24"/>
    </row>
    <row r="28" spans="1:36">
      <c r="A28" s="2" t="s">
        <v>2</v>
      </c>
      <c r="B28" s="17" t="s">
        <v>30</v>
      </c>
      <c r="C28" s="71">
        <f>C12*C$2</f>
        <v>-63426.519915362718</v>
      </c>
      <c r="D28" s="71">
        <f t="shared" ref="D28:L28" si="5">D12*D$2</f>
        <v>-63368.436524968107</v>
      </c>
      <c r="E28" s="71">
        <f t="shared" si="5"/>
        <v>-61374.088042116862</v>
      </c>
      <c r="F28" s="71">
        <f t="shared" si="5"/>
        <v>-64960.47308376943</v>
      </c>
      <c r="G28" s="71">
        <f t="shared" si="5"/>
        <v>-67032.916429922218</v>
      </c>
      <c r="H28" s="71">
        <f t="shared" si="5"/>
        <v>-56013.178853739453</v>
      </c>
      <c r="I28" s="71">
        <f t="shared" si="5"/>
        <v>-60280.209805530802</v>
      </c>
      <c r="J28" s="71">
        <f t="shared" si="5"/>
        <v>-64381.629771225547</v>
      </c>
      <c r="K28" s="71">
        <f t="shared" si="5"/>
        <v>-67429.202432825085</v>
      </c>
      <c r="L28" s="71">
        <f t="shared" si="5"/>
        <v>-72452.378403053634</v>
      </c>
      <c r="M28" s="71">
        <f t="shared" ref="M28" si="6">M12*M$2</f>
        <v>-79976.332596685097</v>
      </c>
      <c r="N28" s="82">
        <f t="shared" si="4"/>
        <v>68.90395060186404</v>
      </c>
      <c r="O28" s="2"/>
      <c r="P28" s="2"/>
      <c r="Q28" s="2"/>
      <c r="R28" s="2"/>
      <c r="S28" s="2"/>
      <c r="T28" s="2"/>
      <c r="U28" s="2"/>
      <c r="V28" s="2"/>
      <c r="W28" s="2"/>
      <c r="X28" s="2"/>
      <c r="Y28" s="24"/>
      <c r="Z28" s="24"/>
      <c r="AA28" s="24"/>
      <c r="AB28" s="24"/>
      <c r="AC28" s="24"/>
      <c r="AD28" s="24"/>
      <c r="AE28" s="24"/>
      <c r="AF28" s="24"/>
      <c r="AG28" s="24"/>
      <c r="AH28" s="24"/>
    </row>
    <row r="29" spans="1:36">
      <c r="A29" s="2" t="s">
        <v>3</v>
      </c>
      <c r="B29" s="17" t="s">
        <v>30</v>
      </c>
      <c r="C29" s="71">
        <f>C13*C$3</f>
        <v>-168309.10454990176</v>
      </c>
      <c r="D29" s="71">
        <f t="shared" ref="D29:L29" si="7">D13*D$3</f>
        <v>-180350.34459438571</v>
      </c>
      <c r="E29" s="71">
        <f t="shared" si="7"/>
        <v>-196679.7102144082</v>
      </c>
      <c r="F29" s="71">
        <f t="shared" si="7"/>
        <v>-206004.01578818128</v>
      </c>
      <c r="G29" s="71">
        <f t="shared" si="7"/>
        <v>-248611.2020990102</v>
      </c>
      <c r="H29" s="71">
        <f t="shared" si="7"/>
        <v>-220985.64658387331</v>
      </c>
      <c r="I29" s="71">
        <f t="shared" si="7"/>
        <v>-223586.50379388771</v>
      </c>
      <c r="J29" s="71">
        <f t="shared" si="7"/>
        <v>-223236.73040781679</v>
      </c>
      <c r="K29" s="71">
        <f t="shared" si="7"/>
        <v>-216331.78641505301</v>
      </c>
      <c r="L29" s="71">
        <f t="shared" si="7"/>
        <v>-185195.22044012698</v>
      </c>
      <c r="M29" s="71">
        <f t="shared" ref="M29" si="8">M13*M$3</f>
        <v>-195737.89270292287</v>
      </c>
      <c r="N29" s="82">
        <f t="shared" si="4"/>
        <v>208.81762675196148</v>
      </c>
      <c r="O29" s="2"/>
      <c r="P29" s="2"/>
      <c r="Q29" s="2"/>
      <c r="R29" s="2"/>
      <c r="S29" s="2"/>
      <c r="T29" s="2"/>
      <c r="U29" s="2"/>
      <c r="V29" s="2"/>
      <c r="W29" s="2"/>
      <c r="X29" s="2"/>
      <c r="Y29" s="24"/>
      <c r="Z29" s="24"/>
      <c r="AA29" s="24"/>
      <c r="AB29" s="24"/>
      <c r="AC29" s="24"/>
      <c r="AD29" s="24"/>
      <c r="AE29" s="24"/>
      <c r="AF29" s="24"/>
      <c r="AG29" s="24"/>
      <c r="AH29" s="24"/>
    </row>
    <row r="30" spans="1:36">
      <c r="A30" s="2" t="s">
        <v>4</v>
      </c>
      <c r="B30" s="17" t="s">
        <v>30</v>
      </c>
      <c r="C30" s="71">
        <f>C14*C$3</f>
        <v>-231094.74985240973</v>
      </c>
      <c r="D30" s="71">
        <f t="shared" ref="D30:L30" si="9">D14*D$3</f>
        <v>-257430.91068408109</v>
      </c>
      <c r="E30" s="71">
        <f t="shared" si="9"/>
        <v>-269466.05064313044</v>
      </c>
      <c r="F30" s="71">
        <f t="shared" si="9"/>
        <v>-261050.19317319436</v>
      </c>
      <c r="G30" s="71">
        <f t="shared" si="9"/>
        <v>-274749.36786621681</v>
      </c>
      <c r="H30" s="71">
        <f t="shared" si="9"/>
        <v>-297252.25158852781</v>
      </c>
      <c r="I30" s="71">
        <f t="shared" si="9"/>
        <v>-299661.69058055402</v>
      </c>
      <c r="J30" s="71">
        <f t="shared" si="9"/>
        <v>-310729.44060338236</v>
      </c>
      <c r="K30" s="71">
        <f t="shared" si="9"/>
        <v>-322527.86883276195</v>
      </c>
      <c r="L30" s="71">
        <f t="shared" si="9"/>
        <v>-293181.97569585411</v>
      </c>
      <c r="M30" s="71">
        <f t="shared" ref="M30" si="10">M14*M$3</f>
        <v>-259522.80410090493</v>
      </c>
      <c r="N30" s="82">
        <f t="shared" si="4"/>
        <v>297.12475596269144</v>
      </c>
      <c r="O30" s="2"/>
      <c r="P30" s="2"/>
      <c r="Q30" s="2"/>
      <c r="R30" s="2"/>
      <c r="S30" s="2"/>
      <c r="T30" s="2"/>
      <c r="U30" s="2"/>
      <c r="V30" s="2"/>
      <c r="W30" s="2"/>
      <c r="X30" s="2"/>
      <c r="Y30" s="24"/>
      <c r="Z30" s="24"/>
      <c r="AA30" s="24"/>
      <c r="AB30" s="24"/>
      <c r="AC30" s="24"/>
      <c r="AD30" s="24"/>
      <c r="AE30" s="24"/>
      <c r="AF30" s="24"/>
      <c r="AG30" s="24"/>
      <c r="AH30" s="24"/>
    </row>
    <row r="31" spans="1:36">
      <c r="A31" s="2" t="s">
        <v>10</v>
      </c>
      <c r="B31" s="17" t="s">
        <v>30</v>
      </c>
      <c r="C31" s="71">
        <f>C15*C$3</f>
        <v>-273016.06116546394</v>
      </c>
      <c r="D31" s="71">
        <f t="shared" ref="D31:L31" si="11">D15*D$3</f>
        <v>-288033.77654508105</v>
      </c>
      <c r="E31" s="71">
        <f t="shared" si="11"/>
        <v>-282820.72677264502</v>
      </c>
      <c r="F31" s="71">
        <f t="shared" si="11"/>
        <v>-293271.21106826008</v>
      </c>
      <c r="G31" s="71">
        <f t="shared" si="11"/>
        <v>-305295.99053588323</v>
      </c>
      <c r="H31" s="71">
        <f t="shared" si="11"/>
        <v>-293188.88112765021</v>
      </c>
      <c r="I31" s="71">
        <f t="shared" si="11"/>
        <v>-317131.32412282832</v>
      </c>
      <c r="J31" s="71">
        <f t="shared" si="11"/>
        <v>-316114.27415576449</v>
      </c>
      <c r="K31" s="71">
        <f t="shared" si="11"/>
        <v>-324707.14359058836</v>
      </c>
      <c r="L31" s="71">
        <f t="shared" si="11"/>
        <v>-309509.95245302923</v>
      </c>
      <c r="M31" s="71">
        <f t="shared" ref="M31" si="12">M15*M$3</f>
        <v>-310551.5497535271</v>
      </c>
      <c r="N31" s="82">
        <f t="shared" si="4"/>
        <v>315.60284881514747</v>
      </c>
      <c r="O31" s="2"/>
      <c r="P31" s="2"/>
      <c r="Q31" s="2"/>
      <c r="R31" s="2"/>
      <c r="S31" s="2"/>
      <c r="T31" s="2"/>
      <c r="U31" s="2"/>
      <c r="V31" s="2"/>
      <c r="W31" s="2"/>
      <c r="X31" s="2"/>
      <c r="Y31" s="24"/>
      <c r="Z31" s="24"/>
      <c r="AA31" s="24"/>
      <c r="AB31" s="24"/>
      <c r="AC31" s="24"/>
      <c r="AD31" s="24"/>
      <c r="AE31" s="24"/>
      <c r="AF31" s="24"/>
      <c r="AG31" s="24"/>
      <c r="AH31" s="24"/>
    </row>
    <row r="32" spans="1:36">
      <c r="A32" s="2" t="s">
        <v>5</v>
      </c>
      <c r="B32" s="17" t="s">
        <v>30</v>
      </c>
      <c r="C32" s="71">
        <f>C16*C$3</f>
        <v>-183827.33359458169</v>
      </c>
      <c r="D32" s="71">
        <f t="shared" ref="D32:L32" si="13">D16*D$3</f>
        <v>-198752.01846018076</v>
      </c>
      <c r="E32" s="71">
        <f t="shared" si="13"/>
        <v>-223453.1963554649</v>
      </c>
      <c r="F32" s="71">
        <f t="shared" si="13"/>
        <v>-246323.3828050438</v>
      </c>
      <c r="G32" s="71">
        <f t="shared" si="13"/>
        <v>-285104.4831094899</v>
      </c>
      <c r="H32" s="71">
        <f t="shared" si="13"/>
        <v>-311173.21311251743</v>
      </c>
      <c r="I32" s="71">
        <f t="shared" si="13"/>
        <v>-273123.71523700445</v>
      </c>
      <c r="J32" s="71">
        <f t="shared" si="13"/>
        <v>-305469.45363639691</v>
      </c>
      <c r="K32" s="71">
        <f t="shared" si="13"/>
        <v>-320869.13261224923</v>
      </c>
      <c r="L32" s="71">
        <f t="shared" si="13"/>
        <v>-263957.71539752185</v>
      </c>
      <c r="M32" s="71">
        <f t="shared" ref="M32" si="14">M16*M$3</f>
        <v>-287928.82395941712</v>
      </c>
      <c r="N32" s="82">
        <f t="shared" si="4"/>
        <v>290.269768168518</v>
      </c>
      <c r="O32" s="2"/>
      <c r="P32" s="2"/>
      <c r="Q32" s="2"/>
      <c r="R32" s="2"/>
      <c r="S32" s="2"/>
      <c r="T32" s="2"/>
      <c r="U32" s="2"/>
      <c r="V32" s="2"/>
      <c r="W32" s="2"/>
      <c r="X32" s="2"/>
      <c r="Y32" s="24"/>
      <c r="Z32" s="24"/>
      <c r="AA32" s="24"/>
      <c r="AB32" s="24"/>
      <c r="AC32" s="24"/>
      <c r="AD32" s="24"/>
      <c r="AE32" s="24"/>
      <c r="AF32" s="24"/>
      <c r="AG32" s="24"/>
      <c r="AH32" s="24"/>
    </row>
    <row r="33" spans="1:34">
      <c r="A33" s="2" t="s">
        <v>6</v>
      </c>
      <c r="B33" s="17" t="s">
        <v>30</v>
      </c>
      <c r="C33" s="71">
        <f>C17*C$2</f>
        <v>-37418.694133046571</v>
      </c>
      <c r="D33" s="71">
        <f t="shared" ref="D33:L34" si="15">D17*D$2</f>
        <v>-39777.995000955263</v>
      </c>
      <c r="E33" s="71">
        <f t="shared" si="15"/>
        <v>-39572.391519191442</v>
      </c>
      <c r="F33" s="71">
        <f t="shared" si="15"/>
        <v>-40440.117553083895</v>
      </c>
      <c r="G33" s="71">
        <f t="shared" si="15"/>
        <v>-40677.125147465602</v>
      </c>
      <c r="H33" s="71">
        <f t="shared" si="15"/>
        <v>-41049.169125319146</v>
      </c>
      <c r="I33" s="71">
        <f t="shared" si="15"/>
        <v>-48727.866207334817</v>
      </c>
      <c r="J33" s="71">
        <f t="shared" si="15"/>
        <v>-56247.088846763058</v>
      </c>
      <c r="K33" s="71">
        <f t="shared" si="15"/>
        <v>-60629.736650402709</v>
      </c>
      <c r="L33" s="71">
        <f t="shared" si="15"/>
        <v>-62882.593578156782</v>
      </c>
      <c r="M33" s="71">
        <f t="shared" ref="M33" si="16">M17*M$2</f>
        <v>-75423.294315652136</v>
      </c>
      <c r="N33" s="82">
        <f t="shared" si="4"/>
        <v>60.782115919661898</v>
      </c>
      <c r="O33" s="2"/>
      <c r="P33" s="2"/>
      <c r="Q33" s="2"/>
      <c r="R33" s="2"/>
      <c r="S33" s="2"/>
      <c r="T33" s="2"/>
      <c r="U33" s="2"/>
      <c r="V33" s="2"/>
      <c r="W33" s="2"/>
      <c r="X33" s="2"/>
      <c r="Y33" s="24"/>
      <c r="Z33" s="24"/>
      <c r="AA33" s="24"/>
      <c r="AB33" s="24"/>
      <c r="AC33" s="24"/>
      <c r="AD33" s="24"/>
      <c r="AE33" s="24"/>
      <c r="AF33" s="24"/>
      <c r="AG33" s="24"/>
      <c r="AH33" s="24"/>
    </row>
    <row r="34" spans="1:34">
      <c r="A34" s="2" t="s">
        <v>7</v>
      </c>
      <c r="B34" s="17" t="s">
        <v>30</v>
      </c>
      <c r="C34" s="71">
        <f>C18*C$2</f>
        <v>-99450.228219173499</v>
      </c>
      <c r="D34" s="71">
        <f>D18*D$2</f>
        <v>-102843.01083587526</v>
      </c>
      <c r="E34" s="71">
        <f>E18*E$2</f>
        <v>-102630.18557468339</v>
      </c>
      <c r="F34" s="71">
        <f>F18*F$2</f>
        <v>-109780.26773685397</v>
      </c>
      <c r="G34" s="71">
        <f>G18*G$2</f>
        <v>-111502.49103199205</v>
      </c>
      <c r="H34" s="71">
        <f t="shared" si="15"/>
        <v>-101548.58272058763</v>
      </c>
      <c r="I34" s="71">
        <f t="shared" si="15"/>
        <v>-111809.39842183598</v>
      </c>
      <c r="J34" s="71">
        <f t="shared" si="15"/>
        <v>-120988.1343537349</v>
      </c>
      <c r="K34" s="71">
        <f t="shared" si="15"/>
        <v>-128180.56936856257</v>
      </c>
      <c r="L34" s="71">
        <f t="shared" si="15"/>
        <v>-140029.66973310735</v>
      </c>
      <c r="M34" s="71">
        <f t="shared" ref="M34" si="17">M18*M$2</f>
        <v>-150793.54861878455</v>
      </c>
      <c r="N34" s="82">
        <f t="shared" si="4"/>
        <v>130.36026409920507</v>
      </c>
      <c r="O34" s="2"/>
      <c r="P34" s="2"/>
      <c r="Q34" s="2"/>
      <c r="R34" s="2"/>
      <c r="S34" s="2"/>
      <c r="T34" s="2"/>
      <c r="U34" s="2"/>
      <c r="V34" s="2"/>
      <c r="W34" s="2"/>
      <c r="X34" s="2"/>
      <c r="Y34" s="24"/>
      <c r="Z34" s="24"/>
      <c r="AA34" s="24"/>
      <c r="AB34" s="24"/>
      <c r="AC34" s="24"/>
      <c r="AD34" s="24"/>
      <c r="AE34" s="24"/>
      <c r="AF34" s="24"/>
      <c r="AG34" s="24"/>
      <c r="AH34" s="24"/>
    </row>
    <row r="35" spans="1:34">
      <c r="A35" s="2" t="s">
        <v>8</v>
      </c>
      <c r="B35" s="17" t="s">
        <v>30</v>
      </c>
      <c r="C35" s="71">
        <f>C19*C$3</f>
        <v>-169942.33103116349</v>
      </c>
      <c r="D35" s="71">
        <f t="shared" ref="D35:L35" si="18">D19*D$3</f>
        <v>-181842.76303605523</v>
      </c>
      <c r="E35" s="71">
        <f t="shared" si="18"/>
        <v>-186349.4737077945</v>
      </c>
      <c r="F35" s="71">
        <f t="shared" si="18"/>
        <v>-193383.9843788482</v>
      </c>
      <c r="G35" s="71">
        <f t="shared" si="18"/>
        <v>-206371.61132273806</v>
      </c>
      <c r="H35" s="71">
        <f t="shared" si="18"/>
        <v>-183559.25196058111</v>
      </c>
      <c r="I35" s="71">
        <f t="shared" si="18"/>
        <v>-191982.12903718726</v>
      </c>
      <c r="J35" s="71">
        <f t="shared" si="18"/>
        <v>-208840.39966195522</v>
      </c>
      <c r="K35" s="71">
        <f t="shared" si="18"/>
        <v>-222124.45028918693</v>
      </c>
      <c r="L35" s="71">
        <f t="shared" si="18"/>
        <v>-239035.03683977886</v>
      </c>
      <c r="M35" s="71">
        <f t="shared" ref="M35" si="19">M19*M$3</f>
        <v>-198859.83331436518</v>
      </c>
      <c r="N35" s="82">
        <f t="shared" si="4"/>
        <v>212.16836982849466</v>
      </c>
      <c r="O35" s="2"/>
      <c r="P35" s="2"/>
      <c r="Q35" s="2"/>
      <c r="R35" s="2"/>
      <c r="S35" s="2"/>
      <c r="T35" s="2"/>
      <c r="U35" s="2"/>
      <c r="V35" s="2"/>
      <c r="W35" s="2"/>
      <c r="X35" s="2"/>
      <c r="Y35" s="24"/>
      <c r="Z35" s="24"/>
      <c r="AA35" s="24"/>
      <c r="AB35" s="24"/>
      <c r="AC35" s="24"/>
      <c r="AD35" s="24"/>
      <c r="AE35" s="24"/>
      <c r="AF35" s="24"/>
      <c r="AG35" s="24"/>
      <c r="AH35" s="24"/>
    </row>
    <row r="36" spans="1:34">
      <c r="A36" s="2" t="s">
        <v>73</v>
      </c>
      <c r="B36" s="17" t="s">
        <v>30</v>
      </c>
      <c r="C36" s="71">
        <f>C20*C$2</f>
        <v>-72435.345298730579</v>
      </c>
      <c r="D36" s="71">
        <f t="shared" ref="D36:L36" si="20">D20*D$2</f>
        <v>-83661.112541304465</v>
      </c>
      <c r="E36" s="71">
        <f t="shared" si="20"/>
        <v>-88327.027413694203</v>
      </c>
      <c r="F36" s="71">
        <f t="shared" si="20"/>
        <v>-97549.505400792885</v>
      </c>
      <c r="G36" s="71">
        <f t="shared" si="20"/>
        <v>-102092.53344118221</v>
      </c>
      <c r="H36" s="71">
        <f t="shared" si="20"/>
        <v>-144965.87744280466</v>
      </c>
      <c r="I36" s="71">
        <f t="shared" si="20"/>
        <v>-123018.5059736266</v>
      </c>
      <c r="J36" s="71">
        <f t="shared" si="20"/>
        <v>-138574.57344547051</v>
      </c>
      <c r="K36" s="71">
        <f t="shared" si="20"/>
        <v>-135523.2045237016</v>
      </c>
      <c r="L36" s="71">
        <f t="shared" si="20"/>
        <v>-137713.26044615183</v>
      </c>
      <c r="M36" s="71">
        <f t="shared" ref="M36" si="21">M20*M$2</f>
        <v>-184649.11218569937</v>
      </c>
      <c r="N36" s="82">
        <f t="shared" si="4"/>
        <v>143.89573131492998</v>
      </c>
      <c r="O36" s="2"/>
      <c r="P36" s="2"/>
      <c r="Q36" s="2"/>
      <c r="R36" s="2"/>
      <c r="S36" s="2"/>
      <c r="T36" s="2"/>
      <c r="U36" s="2"/>
      <c r="V36" s="2"/>
      <c r="W36" s="2"/>
      <c r="X36" s="2"/>
      <c r="Y36" s="24"/>
      <c r="Z36" s="24"/>
      <c r="AA36" s="24"/>
      <c r="AB36" s="24"/>
      <c r="AC36" s="24"/>
      <c r="AD36" s="24"/>
      <c r="AE36" s="24"/>
      <c r="AF36" s="24"/>
      <c r="AG36" s="24"/>
      <c r="AH36" s="24"/>
    </row>
    <row r="37" spans="1:34">
      <c r="A37" s="2" t="s">
        <v>54</v>
      </c>
      <c r="B37" s="17" t="s">
        <v>30</v>
      </c>
      <c r="C37" s="71">
        <f>C21*C$3</f>
        <v>-56447.563485729006</v>
      </c>
      <c r="D37" s="71">
        <f t="shared" ref="D37:L37" si="22">D21*D$3</f>
        <v>-64292.080052909485</v>
      </c>
      <c r="E37" s="71">
        <f t="shared" si="22"/>
        <v>-63661.588452400967</v>
      </c>
      <c r="F37" s="71">
        <f t="shared" si="22"/>
        <v>-54409.483823674018</v>
      </c>
      <c r="G37" s="71">
        <f t="shared" si="22"/>
        <v>-62446.792148689616</v>
      </c>
      <c r="H37" s="71">
        <f t="shared" si="22"/>
        <v>-69418.268379949732</v>
      </c>
      <c r="I37" s="71">
        <f t="shared" si="22"/>
        <v>-73926.77527127674</v>
      </c>
      <c r="J37" s="71">
        <f t="shared" si="22"/>
        <v>-75230.771610606942</v>
      </c>
      <c r="K37" s="71">
        <f t="shared" si="22"/>
        <v>-76698.590689903242</v>
      </c>
      <c r="L37" s="71">
        <f t="shared" si="22"/>
        <v>-80644.161119160111</v>
      </c>
      <c r="M37" s="71">
        <f t="shared" ref="M37" si="23">M21*M$3</f>
        <v>-82086.087453874527</v>
      </c>
      <c r="N37" s="82">
        <f t="shared" si="4"/>
        <v>77.717277228964321</v>
      </c>
      <c r="O37" s="2"/>
      <c r="P37" s="2"/>
      <c r="Q37" s="2"/>
      <c r="R37" s="2"/>
      <c r="S37" s="2"/>
      <c r="T37" s="2"/>
      <c r="U37" s="2"/>
      <c r="V37" s="2"/>
      <c r="W37" s="2"/>
      <c r="X37" s="2"/>
      <c r="Y37" s="24"/>
      <c r="Z37" s="24"/>
      <c r="AA37" s="24"/>
      <c r="AB37" s="24"/>
      <c r="AC37" s="24"/>
      <c r="AD37" s="24"/>
      <c r="AE37" s="24"/>
      <c r="AF37" s="24"/>
      <c r="AG37" s="24"/>
      <c r="AH37" s="24"/>
    </row>
    <row r="38" spans="1:34">
      <c r="A38" s="2" t="s">
        <v>9</v>
      </c>
      <c r="B38" s="17" t="s">
        <v>30</v>
      </c>
      <c r="C38" s="71">
        <f>C22*C$2</f>
        <v>-90262.269486522695</v>
      </c>
      <c r="D38" s="71">
        <f>D22*D$2</f>
        <v>-93576.935161846981</v>
      </c>
      <c r="E38" s="71">
        <f t="shared" ref="E38:L38" si="24">E22*E$2</f>
        <v>-95402.208812455356</v>
      </c>
      <c r="F38" s="71">
        <f>F22*F$2</f>
        <v>-90781.140861972672</v>
      </c>
      <c r="G38" s="71">
        <f>G22*G$2</f>
        <v>-88033.928081062593</v>
      </c>
      <c r="H38" s="71">
        <f>H22*H$2</f>
        <v>-71752.667565358075</v>
      </c>
      <c r="I38" s="71">
        <f>I22*I$2</f>
        <v>-89702.482678656845</v>
      </c>
      <c r="J38" s="71">
        <f>J22*J$2</f>
        <v>-100446.9725267006</v>
      </c>
      <c r="K38" s="71">
        <f t="shared" si="24"/>
        <v>-107286.15086489261</v>
      </c>
      <c r="L38" s="71">
        <f t="shared" si="24"/>
        <v>-121245.09572774496</v>
      </c>
      <c r="M38" s="71">
        <f t="shared" ref="M38" si="25">M22*M$2</f>
        <v>-139449.7780909813</v>
      </c>
      <c r="N38" s="82">
        <f t="shared" si="4"/>
        <v>111.62609597779527</v>
      </c>
      <c r="O38" s="2"/>
      <c r="P38" s="2"/>
      <c r="Q38" s="2"/>
      <c r="R38" s="2"/>
      <c r="S38" s="2"/>
      <c r="T38" s="2"/>
      <c r="U38" s="2"/>
      <c r="V38" s="2"/>
      <c r="W38" s="2"/>
      <c r="X38" s="2"/>
      <c r="Y38" s="24"/>
      <c r="Z38" s="24"/>
      <c r="AA38" s="24"/>
      <c r="AB38" s="24"/>
      <c r="AC38" s="24"/>
      <c r="AD38" s="24"/>
      <c r="AE38" s="24"/>
      <c r="AF38" s="24"/>
      <c r="AG38" s="24"/>
      <c r="AH38" s="24"/>
    </row>
    <row r="39" spans="1:34">
      <c r="J39" s="2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38"/>
  <sheetViews>
    <sheetView zoomScale="75" zoomScaleNormal="75" workbookViewId="0">
      <selection activeCell="L11" sqref="L11"/>
    </sheetView>
  </sheetViews>
  <sheetFormatPr defaultRowHeight="15"/>
  <cols>
    <col min="1" max="1" width="36.5703125" customWidth="1"/>
    <col min="2" max="2" width="10.140625" bestFit="1" customWidth="1"/>
    <col min="3" max="12" width="13.42578125" customWidth="1"/>
    <col min="13" max="13" width="13.42578125" style="2" customWidth="1"/>
    <col min="14" max="14" width="11.140625" customWidth="1"/>
  </cols>
  <sheetData>
    <row r="1" spans="1:36">
      <c r="A1" s="23" t="s">
        <v>107</v>
      </c>
      <c r="B1" s="85" t="str">
        <f>"Real "&amp;Real_year&amp;""</f>
        <v>Real 2016</v>
      </c>
      <c r="C1" s="2">
        <v>2006</v>
      </c>
      <c r="D1" s="2">
        <v>2007</v>
      </c>
      <c r="E1" s="2">
        <v>2008</v>
      </c>
      <c r="F1" s="2">
        <v>2009</v>
      </c>
      <c r="G1" s="2">
        <v>2010</v>
      </c>
      <c r="H1" s="2">
        <v>2011</v>
      </c>
      <c r="I1" s="2">
        <v>2012</v>
      </c>
      <c r="J1" s="2">
        <v>2013</v>
      </c>
      <c r="K1" s="2">
        <v>2014</v>
      </c>
      <c r="L1" s="2">
        <v>2015</v>
      </c>
      <c r="M1" s="2">
        <v>2016</v>
      </c>
      <c r="N1" s="2"/>
      <c r="O1" s="2"/>
      <c r="P1" s="2"/>
      <c r="Q1" s="2"/>
      <c r="R1" s="2"/>
      <c r="S1" s="2"/>
      <c r="T1" s="2"/>
      <c r="U1" s="2"/>
      <c r="V1" s="2"/>
      <c r="W1" s="2"/>
    </row>
    <row r="2" spans="1:36" s="2" customFormat="1">
      <c r="A2" s="2" t="s">
        <v>29</v>
      </c>
      <c r="C2" s="70">
        <f>CPI!F9</f>
        <v>1.2805587892898718</v>
      </c>
      <c r="D2" s="70">
        <f>CPI!G9</f>
        <v>1.2542759407069555</v>
      </c>
      <c r="E2" s="70">
        <f>CPI!H9</f>
        <v>1.2008733624454149</v>
      </c>
      <c r="F2" s="70">
        <f>CPI!I9</f>
        <v>1.1840688912809472</v>
      </c>
      <c r="G2" s="70">
        <f>CPI!J9</f>
        <v>1.1482254697286012</v>
      </c>
      <c r="H2" s="70">
        <f>CPI!K9</f>
        <v>1.1088709677419355</v>
      </c>
      <c r="I2" s="70">
        <f>CPI!L9</f>
        <v>1.095617529880478</v>
      </c>
      <c r="J2" s="70">
        <f>CPI!M9</f>
        <v>1.0700389105058365</v>
      </c>
      <c r="K2" s="70">
        <f>CPI!N9</f>
        <v>1.0387157695939566</v>
      </c>
      <c r="L2" s="70">
        <f>CPI!O9</f>
        <v>1.0232558139534884</v>
      </c>
      <c r="M2" s="70">
        <f>CPI!P9</f>
        <v>1.0128913443830572</v>
      </c>
    </row>
    <row r="3" spans="1:36" s="2" customFormat="1">
      <c r="A3" s="2" t="s">
        <v>28</v>
      </c>
      <c r="C3" s="70">
        <f>CPI!F10</f>
        <v>1.3126491646778042</v>
      </c>
      <c r="D3" s="70">
        <f>CPI!G10</f>
        <v>1.2702078521939955</v>
      </c>
      <c r="E3" s="70">
        <f>CPI!H10</f>
        <v>1.2345679012345681</v>
      </c>
      <c r="F3" s="70">
        <f>CPI!I10</f>
        <v>1.1904761904761905</v>
      </c>
      <c r="G3" s="70">
        <f>CPI!J10</f>
        <v>1.166489925768823</v>
      </c>
      <c r="H3" s="70">
        <f>CPI!K10</f>
        <v>1.1351909184726521</v>
      </c>
      <c r="I3" s="70">
        <f>CPI!L10</f>
        <v>1.1022044088176353</v>
      </c>
      <c r="J3" s="70">
        <f>CPI!M10</f>
        <v>1.0784313725490196</v>
      </c>
      <c r="K3" s="70">
        <f>CPI!N10</f>
        <v>1.0496183206106871</v>
      </c>
      <c r="L3" s="70">
        <f>CPI!O10</f>
        <v>1.0318949343339587</v>
      </c>
      <c r="M3" s="70">
        <f>CPI!P10</f>
        <v>1.014760147601476</v>
      </c>
    </row>
    <row r="4" spans="1:36">
      <c r="A4" s="2"/>
      <c r="C4" s="2"/>
      <c r="D4" s="2"/>
      <c r="E4" s="2"/>
      <c r="F4" s="2"/>
      <c r="G4" s="2"/>
      <c r="H4" s="2"/>
      <c r="I4" s="2"/>
      <c r="J4" s="2"/>
      <c r="K4" s="2"/>
      <c r="L4" s="2"/>
    </row>
    <row r="5" spans="1:36" s="2" customFormat="1"/>
    <row r="6" spans="1:36" s="2" customFormat="1"/>
    <row r="7" spans="1:36">
      <c r="A7" s="23" t="s">
        <v>159</v>
      </c>
      <c r="C7" s="2"/>
      <c r="D7" s="2"/>
      <c r="E7" s="2"/>
      <c r="F7" s="2"/>
      <c r="G7" s="2"/>
      <c r="H7" s="2"/>
      <c r="I7" s="2"/>
      <c r="J7" s="2"/>
      <c r="K7" s="2"/>
      <c r="L7" s="2"/>
      <c r="O7" t="s">
        <v>108</v>
      </c>
    </row>
    <row r="8" spans="1:36">
      <c r="A8" s="85" t="s">
        <v>99</v>
      </c>
      <c r="C8" s="51"/>
      <c r="D8" s="51"/>
      <c r="E8" s="51"/>
      <c r="F8" s="51"/>
      <c r="G8" s="51"/>
      <c r="H8" s="51"/>
      <c r="I8" s="51"/>
      <c r="J8" s="51"/>
      <c r="K8" s="51"/>
      <c r="L8" s="51"/>
      <c r="M8" s="51"/>
    </row>
    <row r="9" spans="1:36">
      <c r="B9" s="25"/>
      <c r="C9" s="2">
        <v>2006</v>
      </c>
      <c r="D9" s="2">
        <v>2007</v>
      </c>
      <c r="E9" s="2">
        <v>2008</v>
      </c>
      <c r="F9" s="2">
        <v>2009</v>
      </c>
      <c r="G9" s="2">
        <v>2010</v>
      </c>
      <c r="H9" s="2">
        <v>2011</v>
      </c>
      <c r="I9" s="2">
        <v>2012</v>
      </c>
      <c r="J9" s="2">
        <v>2013</v>
      </c>
      <c r="K9">
        <v>2014</v>
      </c>
      <c r="L9" s="2">
        <v>2015</v>
      </c>
      <c r="M9" s="2">
        <v>2016</v>
      </c>
      <c r="AA9" s="2"/>
      <c r="AB9" s="2"/>
      <c r="AC9" s="2"/>
      <c r="AD9" s="2"/>
      <c r="AE9" s="2"/>
      <c r="AF9" s="2"/>
      <c r="AG9" s="2"/>
      <c r="AH9" s="2"/>
      <c r="AI9" s="2"/>
      <c r="AJ9" s="2"/>
    </row>
    <row r="10" spans="1:36">
      <c r="A10" s="17" t="s">
        <v>1</v>
      </c>
      <c r="B10" s="17" t="s">
        <v>30</v>
      </c>
      <c r="C10" s="18">
        <f>'[3]4. Assets (RAB)'!D12</f>
        <v>23420.400071124997</v>
      </c>
      <c r="D10" s="18">
        <f>'[3]4. Assets (RAB)'!E12</f>
        <v>29528.094713099999</v>
      </c>
      <c r="E10" s="18">
        <f>'[3]4. Assets (RAB)'!F12</f>
        <v>35599.297561774998</v>
      </c>
      <c r="F10" s="18">
        <f>'[3]4. Assets (RAB)'!G12</f>
        <v>37286.541253426032</v>
      </c>
      <c r="G10" s="18">
        <f>'[3]4. Assets (RAB)'!H12</f>
        <v>66573.637705501053</v>
      </c>
      <c r="H10" s="18">
        <f>'[3]4. Assets (RAB)'!I12</f>
        <v>72571.430675276773</v>
      </c>
      <c r="I10" s="18">
        <f>'[3]4. Assets (RAB)'!J12</f>
        <v>69038.734914428816</v>
      </c>
      <c r="J10" s="18">
        <f>'[3]4. Assets (RAB)'!K12</f>
        <v>67720.427720247069</v>
      </c>
      <c r="K10" s="48">
        <f>'[4]3.3 Assets (RAB)'!$E$17</f>
        <v>85270.23563397507</v>
      </c>
      <c r="L10" s="48">
        <f>'[5]3.3 Assets (RAB)'!$E$17/1000</f>
        <v>80624.819000000003</v>
      </c>
      <c r="M10" s="48">
        <f>'[6]3.3 Assets (RAB)'!$C$16/1000</f>
        <v>61436.644999999997</v>
      </c>
      <c r="AA10" s="24"/>
      <c r="AB10" s="24"/>
      <c r="AC10" s="24"/>
      <c r="AD10" s="24"/>
      <c r="AE10" s="24"/>
      <c r="AF10" s="24"/>
      <c r="AG10" s="24"/>
      <c r="AH10" s="24"/>
      <c r="AI10" s="24"/>
      <c r="AJ10" s="24"/>
    </row>
    <row r="11" spans="1:36">
      <c r="A11" s="17" t="s">
        <v>78</v>
      </c>
      <c r="B11" s="17" t="s">
        <v>30</v>
      </c>
      <c r="C11" s="45">
        <f>'[7]4. Assets (RAB)'!D12-Zonesubstationtransformation!S94</f>
        <v>530964.86811499007</v>
      </c>
      <c r="D11" s="45">
        <f>'[7]4. Assets (RAB)'!E12-Zonesubstationtransformation!T94</f>
        <v>689870.34495042649</v>
      </c>
      <c r="E11" s="45">
        <f>'[7]4. Assets (RAB)'!F12-Zonesubstationtransformation!U94</f>
        <v>839276.75154430629</v>
      </c>
      <c r="F11" s="45">
        <f>'[7]4. Assets (RAB)'!G12-Zonesubstationtransformation!V94</f>
        <v>986518.11326845083</v>
      </c>
      <c r="G11" s="45">
        <f>'[7]4. Assets (RAB)'!H12-Zonesubstationtransformation!W94</f>
        <v>1224820.7844482805</v>
      </c>
      <c r="H11" s="45">
        <f>'[7]4. Assets (RAB)'!I12-Zonesubstationtransformation!X94</f>
        <v>1421237.4626478935</v>
      </c>
      <c r="I11" s="45">
        <f>'[7]4. Assets (RAB)'!J12-Zonesubstationtransformation!Y94</f>
        <v>1584069.6555999666</v>
      </c>
      <c r="J11" s="45">
        <f>'[7]4. Assets (RAB)'!K12-Zonesubstationtransformation!Z94</f>
        <v>1161012.6843540312</v>
      </c>
      <c r="K11" s="48">
        <f>'[8]3.3 Assets (RAB)'!$E$17-Zonesubstationtransformation!AA94</f>
        <v>1071653.4461333903</v>
      </c>
      <c r="L11" s="53">
        <f>'[9]3.3 Assets (RAB)'!$E$17-Zonesubstationtransformation!AB94</f>
        <v>576047.24259860406</v>
      </c>
      <c r="M11" s="53">
        <f>'[10]3.3 Assets (RAB)'!$C$16/1000-Zonesubstationtransformation!AC94</f>
        <v>489554.93684261531</v>
      </c>
      <c r="N11" s="2"/>
      <c r="AA11" s="24"/>
      <c r="AB11" s="24"/>
      <c r="AC11" s="24"/>
      <c r="AD11" s="24"/>
      <c r="AE11" s="24"/>
      <c r="AF11" s="24"/>
      <c r="AG11" s="24"/>
      <c r="AH11" s="24"/>
      <c r="AI11" s="24"/>
      <c r="AJ11" s="24"/>
    </row>
    <row r="12" spans="1:36">
      <c r="A12" s="17" t="s">
        <v>2</v>
      </c>
      <c r="B12" s="17" t="s">
        <v>30</v>
      </c>
      <c r="C12" s="45">
        <f>'[11]4. Assets (RAB)'!D12</f>
        <v>68904.914278072989</v>
      </c>
      <c r="D12" s="45">
        <f>'[11]4. Assets (RAB)'!E12</f>
        <v>60946.961002315576</v>
      </c>
      <c r="E12" s="45">
        <f>'[11]4. Assets (RAB)'!F12</f>
        <v>65890.668173606871</v>
      </c>
      <c r="F12" s="45">
        <f>'[11]4. Assets (RAB)'!G12</f>
        <v>79107.821976089414</v>
      </c>
      <c r="G12" s="45">
        <f>'[11]4. Assets (RAB)'!H12</f>
        <v>105462.55143153308</v>
      </c>
      <c r="H12" s="45">
        <f>'[11]4. Assets (RAB)'!I12</f>
        <v>117067.58658907385</v>
      </c>
      <c r="I12" s="45">
        <f>'[11]4. Assets (RAB)'!J12</f>
        <v>97987.923810570312</v>
      </c>
      <c r="J12" s="45">
        <f>'[11]4. Assets (RAB)'!K12</f>
        <v>116268.35452417274</v>
      </c>
      <c r="K12" s="48">
        <f>'[12]3.3 Assets (RAB)'!$E$17</f>
        <v>130039.91474350206</v>
      </c>
      <c r="L12" s="48">
        <f>'[13]3.3 Assets (RAB)'!$E$17/1000</f>
        <v>124491.64350499114</v>
      </c>
      <c r="M12" s="48">
        <f>'[14]3.3 Assets (RAB)'!$C$16/1000</f>
        <v>101864.319</v>
      </c>
      <c r="N12" s="2"/>
      <c r="AA12" s="24"/>
      <c r="AB12" s="24"/>
      <c r="AC12" s="24"/>
      <c r="AD12" s="24"/>
      <c r="AE12" s="24"/>
      <c r="AF12" s="24"/>
      <c r="AG12" s="24"/>
      <c r="AH12" s="24"/>
      <c r="AI12" s="24"/>
      <c r="AJ12" s="24"/>
    </row>
    <row r="13" spans="1:36">
      <c r="A13" s="17" t="s">
        <v>3</v>
      </c>
      <c r="B13" s="17" t="s">
        <v>30</v>
      </c>
      <c r="C13" s="45">
        <f>'[15]4. Assets (RAB)'!D12-Zonesubstationtransformation!S96</f>
        <v>282457.70867568348</v>
      </c>
      <c r="D13" s="45">
        <f>'[15]4. Assets (RAB)'!E12-Zonesubstationtransformation!T96</f>
        <v>306309.6507368217</v>
      </c>
      <c r="E13" s="45">
        <f>'[15]4. Assets (RAB)'!F12-Zonesubstationtransformation!U96</f>
        <v>311253.64065149997</v>
      </c>
      <c r="F13" s="45">
        <f>'[15]4. Assets (RAB)'!G12-Zonesubstationtransformation!V96</f>
        <v>359193.01151323522</v>
      </c>
      <c r="G13" s="45">
        <f>'[15]4. Assets (RAB)'!H12-Zonesubstationtransformation!W96</f>
        <v>336368.08880157245</v>
      </c>
      <c r="H13" s="45">
        <f>'[15]4. Assets (RAB)'!I12-Zonesubstationtransformation!X96</f>
        <v>398315.8753526053</v>
      </c>
      <c r="I13" s="45">
        <f>'[15]4. Assets (RAB)'!J12-Zonesubstationtransformation!Y96</f>
        <v>486548.79125727003</v>
      </c>
      <c r="J13" s="45">
        <f>'[15]4. Assets (RAB)'!K12-Zonesubstationtransformation!Z96</f>
        <v>466546.11262691108</v>
      </c>
      <c r="K13" s="48">
        <f>'[16]3.3 Assets (RAB)'!$E$17-Zonesubstationtransformation!AA96</f>
        <v>392346.76593434101</v>
      </c>
      <c r="L13" s="48">
        <f>'[17]3.3 Assets (RAB)'!$E$17/1000-Zonesubstationtransformation!AB96</f>
        <v>333626.57686285715</v>
      </c>
      <c r="M13" s="48">
        <f>'[18]3.3 Assets (RAB)'!$C$16/1000-Zonesubstationtransformation!AC96</f>
        <v>260298.83410173142</v>
      </c>
      <c r="N13" s="2"/>
      <c r="AA13" s="24"/>
      <c r="AB13" s="24"/>
      <c r="AC13" s="24"/>
      <c r="AD13" s="24"/>
      <c r="AE13" s="24"/>
      <c r="AF13" s="24"/>
      <c r="AG13" s="24"/>
      <c r="AH13" s="24"/>
      <c r="AI13" s="24"/>
      <c r="AJ13" s="24"/>
    </row>
    <row r="14" spans="1:36">
      <c r="A14" s="17" t="s">
        <v>4</v>
      </c>
      <c r="B14" s="17" t="s">
        <v>30</v>
      </c>
      <c r="C14" s="45">
        <f>'[19]4. Assets (RAB)'!D12-Zonesubstationtransformation!S97</f>
        <v>511292.55860697082</v>
      </c>
      <c r="D14" s="45">
        <f>'[19]4. Assets (RAB)'!E12-Zonesubstationtransformation!T97</f>
        <v>473834.19142521441</v>
      </c>
      <c r="E14" s="45">
        <f>'[19]4. Assets (RAB)'!F12-Zonesubstationtransformation!U97</f>
        <v>411025.1661616576</v>
      </c>
      <c r="F14" s="45">
        <f>'[19]4. Assets (RAB)'!G12-Zonesubstationtransformation!V97</f>
        <v>548801.45908499416</v>
      </c>
      <c r="G14" s="45">
        <f>'[19]4. Assets (RAB)'!H12-Zonesubstationtransformation!W97</f>
        <v>796047.66429839341</v>
      </c>
      <c r="H14" s="45">
        <f>'[19]4. Assets (RAB)'!I12-Zonesubstationtransformation!X97</f>
        <v>652952.83891502721</v>
      </c>
      <c r="I14" s="45">
        <f>'[19]4. Assets (RAB)'!J12-Zonesubstationtransformation!Y97</f>
        <v>664161.81989459321</v>
      </c>
      <c r="J14" s="45">
        <f>'[19]4. Assets (RAB)'!K12-Zonesubstationtransformation!Z97</f>
        <v>698003.93889950099</v>
      </c>
      <c r="K14" s="48">
        <f>'[20]3.3 Assets (RAB)'!$E$17-Zonesubstationtransformation!AA97</f>
        <v>566328.8613923504</v>
      </c>
      <c r="L14" s="48">
        <f>'[21]3.3 Assets (RAB)'!$E$17/1000-Zonesubstationtransformation!AB97</f>
        <v>545937.05088165926</v>
      </c>
      <c r="M14" s="48">
        <f>'[22]3.3 Assets (RAB)'!$C$16/1000-Zonesubstationtransformation!AC97</f>
        <v>476890.09250353492</v>
      </c>
      <c r="N14" s="2"/>
      <c r="AA14" s="24"/>
      <c r="AB14" s="24"/>
      <c r="AC14" s="24"/>
      <c r="AD14" s="24"/>
      <c r="AE14" s="24"/>
      <c r="AF14" s="24"/>
      <c r="AG14" s="24"/>
      <c r="AH14" s="24"/>
      <c r="AI14" s="24"/>
      <c r="AJ14" s="24"/>
    </row>
    <row r="15" spans="1:36">
      <c r="A15" s="17" t="s">
        <v>10</v>
      </c>
      <c r="B15" s="17" t="s">
        <v>30</v>
      </c>
      <c r="C15" s="48">
        <f>'[23]4. Assets (RAB)'!D12-Zonesubstationtransformation!S98</f>
        <v>463580.05943654734</v>
      </c>
      <c r="D15" s="48">
        <f>'[23]4. Assets (RAB)'!E12-Zonesubstationtransformation!T98</f>
        <v>483796.51320718689</v>
      </c>
      <c r="E15" s="48">
        <f>'[23]4. Assets (RAB)'!F12-Zonesubstationtransformation!U98</f>
        <v>478497.4056921117</v>
      </c>
      <c r="F15" s="48">
        <f>'[23]4. Assets (RAB)'!G12-Zonesubstationtransformation!V98</f>
        <v>478275.90449600853</v>
      </c>
      <c r="G15" s="48">
        <f>'[23]4. Assets (RAB)'!H12-Zonesubstationtransformation!W98</f>
        <v>609055.94740810199</v>
      </c>
      <c r="H15" s="48">
        <f>'[23]4. Assets (RAB)'!I12-Zonesubstationtransformation!X98</f>
        <v>626598.2904948924</v>
      </c>
      <c r="I15" s="48">
        <f>'[23]4. Assets (RAB)'!J12-Zonesubstationtransformation!Y98</f>
        <v>655752.90938362258</v>
      </c>
      <c r="J15" s="48">
        <f>'[23]4. Assets (RAB)'!K12-Zonesubstationtransformation!Z98</f>
        <v>639815.92618629255</v>
      </c>
      <c r="K15" s="48">
        <f>'[24]3.3 Assets (RAB)'!$E$17-Zonesubstationtransformation!AA98</f>
        <v>566727.48550888151</v>
      </c>
      <c r="L15" s="48">
        <f>'[25]3.3 Assets (RAB)'!$E$17/1000-Zonesubstationtransformation!AB98</f>
        <v>498291.07096358726</v>
      </c>
      <c r="M15" s="48">
        <f>'[26]3.3 Assets (RAB)'!$C$16/1000-Zonesubstationtransformation!AC98</f>
        <v>513700.19001148787</v>
      </c>
      <c r="N15" s="2"/>
      <c r="AA15" s="24"/>
      <c r="AB15" s="24"/>
      <c r="AC15" s="24"/>
      <c r="AD15" s="24"/>
      <c r="AE15" s="24"/>
      <c r="AF15" s="24"/>
      <c r="AG15" s="24"/>
      <c r="AH15" s="24"/>
      <c r="AI15" s="24"/>
      <c r="AJ15" s="24"/>
    </row>
    <row r="16" spans="1:36">
      <c r="A16" s="17" t="s">
        <v>5</v>
      </c>
      <c r="B16" s="17" t="s">
        <v>30</v>
      </c>
      <c r="C16" s="48">
        <f>'[27]4. Assets (RAB)'!D12-Zonesubstationtransformation!S99</f>
        <v>359865.94159218221</v>
      </c>
      <c r="D16" s="48">
        <f>'[27]4. Assets (RAB)'!E12-Zonesubstationtransformation!T99</f>
        <v>437421.49370932498</v>
      </c>
      <c r="E16" s="48">
        <f>'[27]4. Assets (RAB)'!F12-Zonesubstationtransformation!U99</f>
        <v>498137.72610380233</v>
      </c>
      <c r="F16" s="48">
        <f>'[27]4. Assets (RAB)'!G12-Zonesubstationtransformation!V99</f>
        <v>618110.62199340947</v>
      </c>
      <c r="G16" s="48">
        <f>'[27]4. Assets (RAB)'!H12-Zonesubstationtransformation!W99</f>
        <v>653875.80885185639</v>
      </c>
      <c r="H16" s="48">
        <f>'[27]4. Assets (RAB)'!I12-Zonesubstationtransformation!X99</f>
        <v>707363.57266403618</v>
      </c>
      <c r="I16" s="48">
        <f>'[27]4. Assets (RAB)'!J12-Zonesubstationtransformation!Y99</f>
        <v>750820.42157055496</v>
      </c>
      <c r="J16" s="48">
        <f>'[27]4. Assets (RAB)'!K12-Zonesubstationtransformation!Z99</f>
        <v>634449.85633164842</v>
      </c>
      <c r="K16" s="48">
        <f>'[28]3.3 Assets (RAB)'!$E$17-Zonesubstationtransformation!AA99</f>
        <v>634778.27904321929</v>
      </c>
      <c r="L16" s="48">
        <f>'[29]3.3 Assets (RAB)'!$E$17-Zonesubstationtransformation!AB99</f>
        <v>472684.8024864397</v>
      </c>
      <c r="M16" s="48">
        <f>'[30]3.3 Assets (RAB)'!$C$16/1000-Zonesubstationtransformation!AC99</f>
        <v>430534.51015534555</v>
      </c>
      <c r="N16" s="2"/>
      <c r="AA16" s="24"/>
      <c r="AB16" s="24"/>
      <c r="AC16" s="24"/>
      <c r="AD16" s="24"/>
      <c r="AE16" s="24"/>
      <c r="AF16" s="24"/>
      <c r="AG16" s="24"/>
      <c r="AH16" s="24"/>
      <c r="AI16" s="24"/>
      <c r="AJ16" s="24"/>
    </row>
    <row r="17" spans="1:36">
      <c r="A17" s="17" t="s">
        <v>6</v>
      </c>
      <c r="B17" s="17" t="s">
        <v>30</v>
      </c>
      <c r="C17" s="48">
        <f>'[31]4. Assets (RAB)'!D12</f>
        <v>50952.907170412349</v>
      </c>
      <c r="D17" s="48">
        <f>'[31]4. Assets (RAB)'!E12</f>
        <v>54594.790806106583</v>
      </c>
      <c r="E17" s="48">
        <f>'[31]4. Assets (RAB)'!F12</f>
        <v>34722.806731957717</v>
      </c>
      <c r="F17" s="48">
        <f>'[31]4. Assets (RAB)'!G12</f>
        <v>65418.407571030257</v>
      </c>
      <c r="G17" s="48">
        <f>'[31]4. Assets (RAB)'!H12</f>
        <v>83539.316741557297</v>
      </c>
      <c r="H17" s="48">
        <f>'[31]4. Assets (RAB)'!I12</f>
        <v>114252.51906946178</v>
      </c>
      <c r="I17" s="48">
        <f>'[31]4. Assets (RAB)'!J12</f>
        <v>104682.679592951</v>
      </c>
      <c r="J17" s="48">
        <f>'[31]4. Assets (RAB)'!K12</f>
        <v>112219.40548046571</v>
      </c>
      <c r="K17" s="48">
        <f>'[32]3.3 Assets (RAB)'!$E$17</f>
        <v>114524.67331926168</v>
      </c>
      <c r="L17" s="48">
        <f>'[33]3.3 Assets (RAB)'!$E$17/1000</f>
        <v>111151.07859967535</v>
      </c>
      <c r="M17" s="48">
        <f>'[34]3.3 Assets (RAB)'!$C$16/1000</f>
        <v>116703.82661645063</v>
      </c>
      <c r="N17" s="2"/>
      <c r="AA17" s="24"/>
      <c r="AB17" s="24"/>
      <c r="AC17" s="24"/>
      <c r="AD17" s="24"/>
      <c r="AE17" s="24"/>
      <c r="AF17" s="24"/>
      <c r="AG17" s="24"/>
      <c r="AH17" s="24"/>
      <c r="AI17" s="24"/>
      <c r="AJ17" s="24"/>
    </row>
    <row r="18" spans="1:36">
      <c r="A18" s="17" t="s">
        <v>7</v>
      </c>
      <c r="B18" s="17" t="s">
        <v>30</v>
      </c>
      <c r="C18" s="48">
        <f>'[35]4. Assets (RAB)'!D12</f>
        <v>142464.07272172926</v>
      </c>
      <c r="D18" s="48">
        <f>'[35]4. Assets (RAB)'!E12</f>
        <v>141748.33675135425</v>
      </c>
      <c r="E18" s="48">
        <f>'[35]4. Assets (RAB)'!F12</f>
        <v>146555.69987816046</v>
      </c>
      <c r="F18" s="48">
        <f>'[35]4. Assets (RAB)'!G12</f>
        <v>140471.71417571875</v>
      </c>
      <c r="G18" s="48">
        <f>'[35]4. Assets (RAB)'!H12</f>
        <v>181678.52335255177</v>
      </c>
      <c r="H18" s="48">
        <f>'[35]4. Assets (RAB)'!I12</f>
        <v>210519.91420794337</v>
      </c>
      <c r="I18" s="48">
        <f>'[35]4. Assets (RAB)'!J12</f>
        <v>229213.16194823282</v>
      </c>
      <c r="J18" s="48">
        <f>'[35]4. Assets (RAB)'!K12</f>
        <v>255081.44945299358</v>
      </c>
      <c r="K18" s="48">
        <f>'[36]3.3 Assets (RAB)'!$E$17</f>
        <v>296383.71860063414</v>
      </c>
      <c r="L18" s="48">
        <f>'[37]3.3 Assets (RAB)'!$E$17/1000</f>
        <v>285059.66513144097</v>
      </c>
      <c r="M18" s="48">
        <f>'[38]3.3 Assets (RAB)'!$C$16/1000</f>
        <v>234618.12700000001</v>
      </c>
      <c r="N18" s="2"/>
      <c r="AA18" s="24"/>
      <c r="AB18" s="24"/>
      <c r="AC18" s="24"/>
      <c r="AD18" s="24"/>
      <c r="AE18" s="24"/>
      <c r="AF18" s="24"/>
      <c r="AG18" s="24"/>
      <c r="AH18" s="24"/>
      <c r="AI18" s="24"/>
      <c r="AJ18" s="24"/>
    </row>
    <row r="19" spans="1:36">
      <c r="A19" s="17" t="s">
        <v>8</v>
      </c>
      <c r="B19" s="17" t="s">
        <v>30</v>
      </c>
      <c r="C19" s="48">
        <f>'[39]4. Assets (RAB)'!D12-Zonesubstationtransformation!S102</f>
        <v>134872.53181279163</v>
      </c>
      <c r="D19" s="48">
        <f>'[39]4. Assets (RAB)'!E12-Zonesubstationtransformation!T102</f>
        <v>109434.20651889949</v>
      </c>
      <c r="E19" s="48">
        <f>'[39]4. Assets (RAB)'!F12-Zonesubstationtransformation!U102</f>
        <v>100681.19356099155</v>
      </c>
      <c r="F19" s="48">
        <f>'[39]4. Assets (RAB)'!G12-Zonesubstationtransformation!V102</f>
        <v>151524.38729252419</v>
      </c>
      <c r="G19" s="48">
        <f>'[39]4. Assets (RAB)'!H12-Zonesubstationtransformation!W102</f>
        <v>115764.57031280508</v>
      </c>
      <c r="H19" s="48">
        <f>'[39]4. Assets (RAB)'!I12-Zonesubstationtransformation!X102</f>
        <v>257478.70954874603</v>
      </c>
      <c r="I19" s="48">
        <f>'[39]4. Assets (RAB)'!J12-Zonesubstationtransformation!Y102</f>
        <v>310409.39968932816</v>
      </c>
      <c r="J19" s="48">
        <f>'[39]4. Assets (RAB)'!K12-Zonesubstationtransformation!Z102</f>
        <v>320529.68837829976</v>
      </c>
      <c r="K19" s="48">
        <f>'[40]3.3 Assets (RAB)'!$E$17-Zonesubstationtransformation!AA102</f>
        <v>276460.10578983882</v>
      </c>
      <c r="L19" s="48">
        <f>'[41]3.3 Assets (RAB)'!$E$17/1000-Zonesubstationtransformation!AB102</f>
        <v>303244.75639559649</v>
      </c>
      <c r="M19" s="48">
        <f>'[42]3.3 Assets (RAB)'!$C$16/1000-Zonesubstationtransformation!AC102</f>
        <v>236435.43605879237</v>
      </c>
      <c r="N19" s="2"/>
      <c r="AA19" s="24"/>
      <c r="AB19" s="24"/>
      <c r="AC19" s="24"/>
      <c r="AD19" s="24"/>
      <c r="AE19" s="24"/>
      <c r="AF19" s="24"/>
      <c r="AG19" s="24"/>
      <c r="AH19" s="24"/>
      <c r="AI19" s="24"/>
      <c r="AJ19" s="24"/>
    </row>
    <row r="20" spans="1:36">
      <c r="A20" s="17" t="s">
        <v>73</v>
      </c>
      <c r="B20" s="17" t="s">
        <v>30</v>
      </c>
      <c r="C20" s="48">
        <f>'[43]4. Assets (RAB)'!D12</f>
        <v>119200.64036278825</v>
      </c>
      <c r="D20" s="48">
        <f>'[43]4. Assets (RAB)'!E12</f>
        <v>129699.66114978181</v>
      </c>
      <c r="E20" s="48">
        <f>'[43]4. Assets (RAB)'!F12</f>
        <v>188932.85804046306</v>
      </c>
      <c r="F20" s="48">
        <f>'[43]4. Assets (RAB)'!G12</f>
        <v>235768.12386669559</v>
      </c>
      <c r="G20" s="48">
        <f>'[43]4. Assets (RAB)'!H12</f>
        <v>256945.31134785031</v>
      </c>
      <c r="H20" s="48">
        <f>'[43]4. Assets (RAB)'!I12</f>
        <v>272384.9291057259</v>
      </c>
      <c r="I20" s="48">
        <f>'[43]4. Assets (RAB)'!J12</f>
        <v>322240.39599040191</v>
      </c>
      <c r="J20" s="48">
        <f>'[43]4. Assets (RAB)'!K12</f>
        <v>379421.11617340584</v>
      </c>
      <c r="K20" s="48">
        <f>'[44]3.3 Assets (RAB)'!$E$17</f>
        <v>401205.41757601238</v>
      </c>
      <c r="L20" s="48">
        <f>'[45]3.3 Assets (RAB)'!$E$17/1000</f>
        <v>321695.07050537318</v>
      </c>
      <c r="M20" s="48">
        <f>'[46]3.3 Assets (RAB)'!$C$16/1000</f>
        <v>291506.76781074092</v>
      </c>
      <c r="N20" s="2"/>
      <c r="AA20" s="24"/>
      <c r="AB20" s="24"/>
      <c r="AC20" s="24"/>
      <c r="AD20" s="24"/>
      <c r="AE20" s="24"/>
      <c r="AF20" s="24"/>
      <c r="AG20" s="24"/>
      <c r="AH20" s="24"/>
      <c r="AI20" s="24"/>
      <c r="AJ20" s="24"/>
    </row>
    <row r="21" spans="1:36">
      <c r="A21" s="17" t="s">
        <v>54</v>
      </c>
      <c r="B21" s="17" t="s">
        <v>30</v>
      </c>
      <c r="C21" s="48">
        <f>'[47]4. Assets (RAB)'!D$13</f>
        <v>101629.94069461888</v>
      </c>
      <c r="D21" s="48">
        <f>'[47]4. Assets (RAB)'!E$13</f>
        <v>85969.683107540535</v>
      </c>
      <c r="E21" s="48">
        <f>'[47]4. Assets (RAB)'!F$13</f>
        <v>97820.491146347733</v>
      </c>
      <c r="F21" s="48">
        <f>'[47]4. Assets (RAB)'!G$13</f>
        <v>114954.68443023754</v>
      </c>
      <c r="G21" s="48">
        <f>'[47]4. Assets (RAB)'!H$13</f>
        <v>133282.7917577702</v>
      </c>
      <c r="H21" s="48">
        <f>'[47]4. Assets (RAB)'!I$13</f>
        <v>129998.85522698844</v>
      </c>
      <c r="I21" s="48">
        <f>'[47]4. Assets (RAB)'!J$13</f>
        <v>104682.90478555571</v>
      </c>
      <c r="J21" s="48">
        <f>'[47]4. Assets (RAB)'!K$13</f>
        <v>84657.268206771842</v>
      </c>
      <c r="K21" s="48">
        <f>'[48]3.3 Assets (RAB)'!$E$17</f>
        <v>95477.124154174686</v>
      </c>
      <c r="L21" s="48">
        <f>'[49]3.3 Assets (RAB)'!$E$17/1000</f>
        <v>83202.45924948038</v>
      </c>
      <c r="M21" s="48">
        <f>'[50]3.3 Assets (RAB)'!$C$16/1000</f>
        <v>99398.964999999997</v>
      </c>
      <c r="N21" s="2"/>
      <c r="AA21" s="24"/>
      <c r="AB21" s="24"/>
      <c r="AC21" s="24"/>
      <c r="AD21" s="24"/>
      <c r="AE21" s="24"/>
      <c r="AF21" s="24"/>
      <c r="AG21" s="24"/>
      <c r="AH21" s="24"/>
      <c r="AI21" s="24"/>
      <c r="AJ21" s="24"/>
    </row>
    <row r="22" spans="1:36">
      <c r="A22" s="17" t="s">
        <v>9</v>
      </c>
      <c r="B22" s="17" t="s">
        <v>30</v>
      </c>
      <c r="C22" s="49">
        <f>'[51]4.Assets'!D$12</f>
        <v>80468.178781472147</v>
      </c>
      <c r="D22" s="49">
        <f>'[51]4.Assets'!E$12</f>
        <v>70756.843035853512</v>
      </c>
      <c r="E22" s="49">
        <f>'[51]4.Assets'!F$12</f>
        <v>73490.64002668469</v>
      </c>
      <c r="F22" s="49">
        <f>'[51]4.Assets'!G$12</f>
        <v>105496.60181718058</v>
      </c>
      <c r="G22" s="49">
        <f>'[51]4.Assets'!H$12</f>
        <v>117041.04261797684</v>
      </c>
      <c r="H22" s="49">
        <f>'[51]4.Assets'!I$12</f>
        <v>179608.97751353012</v>
      </c>
      <c r="I22" s="49">
        <f>'[51]4.Assets'!J$12</f>
        <v>192500.96100057624</v>
      </c>
      <c r="J22" s="49">
        <f>'[51]4.Assets'!K$12</f>
        <v>180180.49810417241</v>
      </c>
      <c r="K22" s="48">
        <f>'[52]3.3 Assets (RAB)'!$E$17</f>
        <v>205573.26903436228</v>
      </c>
      <c r="L22" s="48">
        <f>'[53]3.3 Assets (RAB)'!$E$17</f>
        <v>204711.74126140506</v>
      </c>
      <c r="M22" s="48">
        <f>'[54]3.3 Assets (RAB)'!$C$16/1000</f>
        <v>167086.39505152512</v>
      </c>
      <c r="N22" s="2"/>
      <c r="AA22" s="24"/>
      <c r="AB22" s="24"/>
      <c r="AC22" s="24"/>
      <c r="AD22" s="24"/>
      <c r="AE22" s="24"/>
      <c r="AF22" s="24"/>
      <c r="AG22" s="24"/>
      <c r="AH22" s="24"/>
      <c r="AI22" s="24"/>
      <c r="AJ22" s="24"/>
    </row>
    <row r="23" spans="1:36">
      <c r="B23" s="25"/>
      <c r="C23" s="51"/>
      <c r="D23" s="51"/>
      <c r="E23" s="51"/>
      <c r="F23" s="51"/>
      <c r="G23" s="51"/>
      <c r="H23" s="51"/>
      <c r="I23" s="51"/>
      <c r="J23" s="51"/>
      <c r="K23" s="51"/>
      <c r="L23" s="51"/>
      <c r="M23" s="51"/>
    </row>
    <row r="24" spans="1:36">
      <c r="A24" s="85" t="str">
        <f>CONCATENATE(B1)</f>
        <v>Real 2016</v>
      </c>
      <c r="B24" s="25"/>
      <c r="C24" s="51"/>
      <c r="D24" s="51"/>
      <c r="E24" s="51"/>
      <c r="F24" s="51"/>
      <c r="G24" s="51"/>
      <c r="H24" s="51"/>
      <c r="I24" s="51"/>
      <c r="J24" s="51"/>
      <c r="K24" s="51"/>
      <c r="L24" s="51"/>
      <c r="M24" s="51"/>
    </row>
    <row r="25" spans="1:36">
      <c r="B25" s="25"/>
      <c r="C25" s="2">
        <v>2006</v>
      </c>
      <c r="D25" s="2">
        <v>2007</v>
      </c>
      <c r="E25" s="2">
        <v>2008</v>
      </c>
      <c r="F25" s="2">
        <v>2009</v>
      </c>
      <c r="G25" s="2">
        <v>2010</v>
      </c>
      <c r="H25" s="2">
        <v>2011</v>
      </c>
      <c r="I25" s="2">
        <v>2012</v>
      </c>
      <c r="J25" s="2">
        <v>2013</v>
      </c>
      <c r="K25" s="2">
        <v>2014</v>
      </c>
      <c r="L25" s="2">
        <v>2015</v>
      </c>
      <c r="M25" s="2">
        <v>2016</v>
      </c>
      <c r="N25" s="83" t="s">
        <v>209</v>
      </c>
    </row>
    <row r="26" spans="1:36">
      <c r="A26" s="17" t="s">
        <v>58</v>
      </c>
      <c r="B26" s="17" t="s">
        <v>30</v>
      </c>
      <c r="C26" s="18">
        <f>C10*C$3</f>
        <v>30742.768589782216</v>
      </c>
      <c r="D26" s="18">
        <f t="shared" ref="D26:L26" si="0">D10*D$3</f>
        <v>37506.817764907624</v>
      </c>
      <c r="E26" s="18">
        <f t="shared" si="0"/>
        <v>43949.750076265438</v>
      </c>
      <c r="F26" s="18">
        <f t="shared" si="0"/>
        <v>44388.739587411939</v>
      </c>
      <c r="G26" s="18">
        <f t="shared" si="0"/>
        <v>77657.477705250436</v>
      </c>
      <c r="H26" s="18">
        <f t="shared" si="0"/>
        <v>82382.429043141834</v>
      </c>
      <c r="I26" s="18">
        <f t="shared" si="0"/>
        <v>76094.798001875446</v>
      </c>
      <c r="J26" s="18">
        <f t="shared" si="0"/>
        <v>73031.833815952719</v>
      </c>
      <c r="K26" s="18">
        <f t="shared" si="0"/>
        <v>89501.201524210483</v>
      </c>
      <c r="L26" s="18">
        <f t="shared" si="0"/>
        <v>83196.342307692306</v>
      </c>
      <c r="M26" s="18">
        <f t="shared" ref="M26" si="1">M10*M$3</f>
        <v>62343.458948339481</v>
      </c>
      <c r="N26" s="24">
        <f>AVERAGE(I26:M26)</f>
        <v>76833.526919614087</v>
      </c>
    </row>
    <row r="27" spans="1:36">
      <c r="A27" s="17" t="s">
        <v>59</v>
      </c>
      <c r="B27" s="17" t="s">
        <v>30</v>
      </c>
      <c r="C27" s="18">
        <f t="shared" ref="C27:L27" si="2">C11*C$3</f>
        <v>696970.59060440224</v>
      </c>
      <c r="D27" s="18">
        <f t="shared" si="2"/>
        <v>876278.72915181203</v>
      </c>
      <c r="E27" s="18">
        <f t="shared" si="2"/>
        <v>1036144.1377090203</v>
      </c>
      <c r="F27" s="18">
        <f t="shared" si="2"/>
        <v>1174426.3253195842</v>
      </c>
      <c r="G27" s="18">
        <f t="shared" si="2"/>
        <v>1428741.1059311864</v>
      </c>
      <c r="H27" s="18">
        <f t="shared" si="2"/>
        <v>1613375.8605910037</v>
      </c>
      <c r="I27" s="18">
        <f t="shared" si="2"/>
        <v>1745968.5582765164</v>
      </c>
      <c r="J27" s="18">
        <f t="shared" si="2"/>
        <v>1252072.5027347396</v>
      </c>
      <c r="K27" s="18">
        <f t="shared" si="2"/>
        <v>1124827.0904071846</v>
      </c>
      <c r="L27" s="18">
        <f t="shared" si="2"/>
        <v>594420.23157454457</v>
      </c>
      <c r="M27" s="18">
        <f t="shared" ref="M27" si="3">M11*M$3</f>
        <v>496780.83996944356</v>
      </c>
      <c r="N27" s="24">
        <f t="shared" ref="N27:N38" si="4">AVERAGE(I27:M27)</f>
        <v>1042813.8445924856</v>
      </c>
    </row>
    <row r="28" spans="1:36">
      <c r="A28" s="17" t="s">
        <v>60</v>
      </c>
      <c r="B28" s="17" t="s">
        <v>30</v>
      </c>
      <c r="C28" s="18">
        <f>C12*C$2</f>
        <v>88236.793604051549</v>
      </c>
      <c r="D28" s="18">
        <f t="shared" ref="D28:L28" si="5">D12*D$2</f>
        <v>76444.306844409497</v>
      </c>
      <c r="E28" s="18">
        <f t="shared" si="5"/>
        <v>79126.348243414366</v>
      </c>
      <c r="F28" s="18">
        <f t="shared" si="5"/>
        <v>93669.111058878741</v>
      </c>
      <c r="G28" s="18">
        <f t="shared" si="5"/>
        <v>121094.78765624884</v>
      </c>
      <c r="H28" s="18">
        <f t="shared" si="5"/>
        <v>129812.84803223916</v>
      </c>
      <c r="I28" s="18">
        <f t="shared" si="5"/>
        <v>107357.28704345351</v>
      </c>
      <c r="J28" s="18">
        <f t="shared" si="5"/>
        <v>124411.66340135215</v>
      </c>
      <c r="K28" s="18">
        <f t="shared" si="5"/>
        <v>135074.51012072925</v>
      </c>
      <c r="L28" s="18">
        <f t="shared" si="5"/>
        <v>127386.79800510722</v>
      </c>
      <c r="M28" s="18">
        <f t="shared" ref="M28" si="6">M12*M$2</f>
        <v>103177.4870165746</v>
      </c>
      <c r="N28" s="24">
        <f t="shared" si="4"/>
        <v>119481.54911744334</v>
      </c>
    </row>
    <row r="29" spans="1:36">
      <c r="A29" s="17" t="s">
        <v>61</v>
      </c>
      <c r="B29" s="17" t="s">
        <v>30</v>
      </c>
      <c r="C29" s="18">
        <f t="shared" ref="C29:L29" si="7">C13*C$3</f>
        <v>370767.87534994248</v>
      </c>
      <c r="D29" s="18">
        <f t="shared" si="7"/>
        <v>389076.92356871121</v>
      </c>
      <c r="E29" s="18">
        <f t="shared" si="7"/>
        <v>384263.75389074074</v>
      </c>
      <c r="F29" s="18">
        <f t="shared" si="7"/>
        <v>427610.72799194668</v>
      </c>
      <c r="G29" s="18">
        <f t="shared" si="7"/>
        <v>392369.9869371471</v>
      </c>
      <c r="H29" s="18">
        <f t="shared" si="7"/>
        <v>452164.56438376242</v>
      </c>
      <c r="I29" s="18">
        <f t="shared" si="7"/>
        <v>536276.22282865434</v>
      </c>
      <c r="J29" s="18">
        <f t="shared" si="7"/>
        <v>503137.96459764917</v>
      </c>
      <c r="K29" s="18">
        <f t="shared" si="7"/>
        <v>411814.35355703731</v>
      </c>
      <c r="L29" s="18">
        <f t="shared" si="7"/>
        <v>344267.57462396141</v>
      </c>
      <c r="M29" s="18">
        <f t="shared" ref="M29" si="8">M13*M$3</f>
        <v>264140.88331356511</v>
      </c>
      <c r="N29" s="24">
        <f t="shared" si="4"/>
        <v>411927.39978417347</v>
      </c>
    </row>
    <row r="30" spans="1:36">
      <c r="A30" s="17" t="s">
        <v>62</v>
      </c>
      <c r="B30" s="17" t="s">
        <v>30</v>
      </c>
      <c r="C30" s="18">
        <f t="shared" ref="C30:L30" si="9">C14*C$3</f>
        <v>671147.74996141752</v>
      </c>
      <c r="D30" s="18">
        <f t="shared" si="9"/>
        <v>601867.91058630007</v>
      </c>
      <c r="E30" s="18">
        <f t="shared" si="9"/>
        <v>507438.47674278723</v>
      </c>
      <c r="F30" s="18">
        <f t="shared" si="9"/>
        <v>653335.07033927878</v>
      </c>
      <c r="G30" s="18">
        <f t="shared" si="9"/>
        <v>928581.58083587792</v>
      </c>
      <c r="H30" s="18">
        <f t="shared" si="9"/>
        <v>741226.13292727538</v>
      </c>
      <c r="I30" s="18">
        <f t="shared" si="9"/>
        <v>732042.08605616482</v>
      </c>
      <c r="J30" s="18">
        <f t="shared" si="9"/>
        <v>752749.3458720108</v>
      </c>
      <c r="K30" s="18">
        <f t="shared" si="9"/>
        <v>594429.14840800141</v>
      </c>
      <c r="L30" s="18">
        <f t="shared" si="9"/>
        <v>563349.67727000488</v>
      </c>
      <c r="M30" s="18">
        <f t="shared" ref="M30" si="10">M14*M$3</f>
        <v>483929.06065856863</v>
      </c>
      <c r="N30" s="24">
        <f t="shared" si="4"/>
        <v>625299.86365295004</v>
      </c>
    </row>
    <row r="31" spans="1:36">
      <c r="A31" s="17" t="s">
        <v>63</v>
      </c>
      <c r="B31" s="17" t="s">
        <v>30</v>
      </c>
      <c r="C31" s="18">
        <f t="shared" ref="C31:L31" si="11">C15*C$3</f>
        <v>608517.97778067074</v>
      </c>
      <c r="D31" s="18">
        <f t="shared" si="11"/>
        <v>614522.12993984483</v>
      </c>
      <c r="E31" s="18">
        <f t="shared" si="11"/>
        <v>590737.53789149597</v>
      </c>
      <c r="F31" s="18">
        <f t="shared" si="11"/>
        <v>569376.07678096252</v>
      </c>
      <c r="G31" s="18">
        <f t="shared" si="11"/>
        <v>710457.62688113702</v>
      </c>
      <c r="H31" s="18">
        <f t="shared" si="11"/>
        <v>711308.68890029052</v>
      </c>
      <c r="I31" s="18">
        <f t="shared" si="11"/>
        <v>722773.74781762005</v>
      </c>
      <c r="J31" s="18">
        <f t="shared" si="11"/>
        <v>689997.56745580561</v>
      </c>
      <c r="K31" s="18">
        <f t="shared" si="11"/>
        <v>594847.55158374971</v>
      </c>
      <c r="L31" s="18">
        <f t="shared" si="11"/>
        <v>514184.03195116884</v>
      </c>
      <c r="M31" s="18">
        <f t="shared" ref="M31" si="12">M15*M$3</f>
        <v>521282.48063896369</v>
      </c>
      <c r="N31" s="24">
        <f t="shared" si="4"/>
        <v>608617.07588946156</v>
      </c>
    </row>
    <row r="32" spans="1:36">
      <c r="A32" s="17" t="s">
        <v>64</v>
      </c>
      <c r="B32" s="17" t="s">
        <v>30</v>
      </c>
      <c r="C32" s="18">
        <f t="shared" ref="C32:L32" si="13">C16*C$3</f>
        <v>472377.72762696946</v>
      </c>
      <c r="D32" s="18">
        <f t="shared" si="13"/>
        <v>555616.21602801094</v>
      </c>
      <c r="E32" s="18">
        <f t="shared" si="13"/>
        <v>614984.84704173135</v>
      </c>
      <c r="F32" s="18">
        <f t="shared" si="13"/>
        <v>735845.97856358264</v>
      </c>
      <c r="G32" s="18">
        <f t="shared" si="13"/>
        <v>762739.54372963111</v>
      </c>
      <c r="H32" s="18">
        <f t="shared" si="13"/>
        <v>802992.70374658378</v>
      </c>
      <c r="I32" s="18">
        <f t="shared" si="13"/>
        <v>827557.57888538123</v>
      </c>
      <c r="J32" s="18">
        <f t="shared" si="13"/>
        <v>684210.62937726791</v>
      </c>
      <c r="K32" s="18">
        <f t="shared" si="13"/>
        <v>666274.91120948596</v>
      </c>
      <c r="L32" s="18">
        <f t="shared" si="13"/>
        <v>487761.05322240497</v>
      </c>
      <c r="M32" s="18">
        <f t="shared" ref="M32" si="14">M16*M$3</f>
        <v>436889.26307276764</v>
      </c>
      <c r="N32" s="24">
        <f t="shared" si="4"/>
        <v>620538.68715346151</v>
      </c>
    </row>
    <row r="33" spans="1:14">
      <c r="A33" s="17" t="s">
        <v>65</v>
      </c>
      <c r="B33" s="17" t="s">
        <v>30</v>
      </c>
      <c r="C33" s="18">
        <f>C17*C$2</f>
        <v>65248.193116942464</v>
      </c>
      <c r="D33" s="18">
        <f t="shared" ref="D33:L34" si="15">D17*D$2</f>
        <v>68476.932596028782</v>
      </c>
      <c r="E33" s="18">
        <f t="shared" si="15"/>
        <v>41697.693673748348</v>
      </c>
      <c r="F33" s="18">
        <f t="shared" si="15"/>
        <v>77459.901321994912</v>
      </c>
      <c r="G33" s="18">
        <f t="shared" si="15"/>
        <v>95921.971206381029</v>
      </c>
      <c r="H33" s="18">
        <f t="shared" si="15"/>
        <v>126691.30138750802</v>
      </c>
      <c r="I33" s="18">
        <f t="shared" si="15"/>
        <v>114692.1788368985</v>
      </c>
      <c r="J33" s="18">
        <f t="shared" si="15"/>
        <v>120079.13037793023</v>
      </c>
      <c r="K33" s="18">
        <f t="shared" si="15"/>
        <v>118958.58418431337</v>
      </c>
      <c r="L33" s="18">
        <f t="shared" si="15"/>
        <v>113735.98740431898</v>
      </c>
      <c r="M33" s="18">
        <f t="shared" ref="M33" si="16">M17*M$2</f>
        <v>118208.2958361839</v>
      </c>
      <c r="N33" s="24">
        <f t="shared" si="4"/>
        <v>117134.835327929</v>
      </c>
    </row>
    <row r="34" spans="1:14">
      <c r="A34" s="17" t="s">
        <v>66</v>
      </c>
      <c r="B34" s="17" t="s">
        <v>30</v>
      </c>
      <c r="C34" s="18">
        <f>C18*C$2</f>
        <v>182433.62048184188</v>
      </c>
      <c r="D34" s="18">
        <f>D18*D$2</f>
        <v>177791.52842245117</v>
      </c>
      <c r="E34" s="18">
        <f>E18*E$2</f>
        <v>175994.83609822762</v>
      </c>
      <c r="F34" s="18">
        <f>F18*F$2</f>
        <v>166328.18686037741</v>
      </c>
      <c r="G34" s="18">
        <f>G18*G$2</f>
        <v>208607.90781608238</v>
      </c>
      <c r="H34" s="18">
        <f t="shared" si="15"/>
        <v>233439.42099671139</v>
      </c>
      <c r="I34" s="18">
        <f t="shared" si="15"/>
        <v>251129.95830981681</v>
      </c>
      <c r="J34" s="18">
        <f t="shared" si="15"/>
        <v>272947.07626293087</v>
      </c>
      <c r="K34" s="18">
        <f t="shared" si="15"/>
        <v>307858.44236137636</v>
      </c>
      <c r="L34" s="18">
        <f t="shared" si="15"/>
        <v>291688.9596693815</v>
      </c>
      <c r="M34" s="18">
        <f t="shared" ref="M34" si="17">M18*M$2</f>
        <v>237642.67007366486</v>
      </c>
      <c r="N34" s="24">
        <f t="shared" si="4"/>
        <v>272253.42133543408</v>
      </c>
    </row>
    <row r="35" spans="1:14">
      <c r="A35" s="17" t="s">
        <v>69</v>
      </c>
      <c r="B35" s="17" t="s">
        <v>30</v>
      </c>
      <c r="C35" s="18">
        <f t="shared" ref="C35:L35" si="18">C19*C$3</f>
        <v>177040.3162220415</v>
      </c>
      <c r="D35" s="18">
        <f t="shared" si="18"/>
        <v>139004.18841892545</v>
      </c>
      <c r="E35" s="18">
        <f t="shared" si="18"/>
        <v>124297.76982838465</v>
      </c>
      <c r="F35" s="18">
        <f t="shared" si="18"/>
        <v>180386.17534824309</v>
      </c>
      <c r="G35" s="18">
        <f t="shared" si="18"/>
        <v>135038.2050308437</v>
      </c>
      <c r="H35" s="18">
        <f t="shared" si="18"/>
        <v>292287.49277979421</v>
      </c>
      <c r="I35" s="18">
        <f t="shared" si="18"/>
        <v>342134.60887601302</v>
      </c>
      <c r="J35" s="18">
        <f t="shared" si="18"/>
        <v>345669.27178051934</v>
      </c>
      <c r="K35" s="18">
        <f t="shared" si="18"/>
        <v>290177.59195498348</v>
      </c>
      <c r="L35" s="18">
        <f t="shared" si="18"/>
        <v>312916.72798795137</v>
      </c>
      <c r="M35" s="18">
        <f t="shared" ref="M35" si="19">M19*M$3</f>
        <v>239925.2579932395</v>
      </c>
      <c r="N35" s="24">
        <f t="shared" si="4"/>
        <v>306164.69171854132</v>
      </c>
    </row>
    <row r="36" spans="1:14">
      <c r="A36" s="17" t="s">
        <v>74</v>
      </c>
      <c r="B36" s="17" t="s">
        <v>30</v>
      </c>
      <c r="C36" s="18">
        <f>C20*C$2</f>
        <v>152643.42770554955</v>
      </c>
      <c r="D36" s="18">
        <f t="shared" ref="D36:L36" si="20">D20*D$2</f>
        <v>162679.16449801595</v>
      </c>
      <c r="E36" s="18">
        <f t="shared" si="20"/>
        <v>226884.43651147312</v>
      </c>
      <c r="F36" s="18">
        <f t="shared" si="20"/>
        <v>279165.70102622727</v>
      </c>
      <c r="G36" s="18">
        <f t="shared" si="20"/>
        <v>295031.15081694711</v>
      </c>
      <c r="H36" s="18">
        <f t="shared" si="20"/>
        <v>302039.73993578478</v>
      </c>
      <c r="I36" s="18">
        <f t="shared" si="20"/>
        <v>353052.22668271122</v>
      </c>
      <c r="J36" s="18">
        <f t="shared" si="20"/>
        <v>405995.35777309962</v>
      </c>
      <c r="K36" s="18">
        <f t="shared" si="20"/>
        <v>416738.39408273244</v>
      </c>
      <c r="L36" s="18">
        <f t="shared" si="20"/>
        <v>329176.3512148005</v>
      </c>
      <c r="M36" s="18">
        <f t="shared" ref="M36" si="21">M20*M$2</f>
        <v>295264.68194458104</v>
      </c>
      <c r="N36" s="24">
        <f t="shared" si="4"/>
        <v>360045.40233958495</v>
      </c>
    </row>
    <row r="37" spans="1:14">
      <c r="A37" s="17" t="s">
        <v>68</v>
      </c>
      <c r="B37" s="17" t="s">
        <v>30</v>
      </c>
      <c r="C37" s="18">
        <f t="shared" ref="C37:L37" si="22">C21*C$3</f>
        <v>133404.45675904627</v>
      </c>
      <c r="D37" s="18">
        <f t="shared" si="22"/>
        <v>109199.36653382747</v>
      </c>
      <c r="E37" s="18">
        <f t="shared" si="22"/>
        <v>120766.03845228117</v>
      </c>
      <c r="F37" s="18">
        <f t="shared" si="22"/>
        <v>136850.81479790184</v>
      </c>
      <c r="G37" s="18">
        <f t="shared" si="22"/>
        <v>155473.03386378285</v>
      </c>
      <c r="H37" s="18">
        <f t="shared" si="22"/>
        <v>147573.51986551832</v>
      </c>
      <c r="I37" s="18">
        <f t="shared" si="22"/>
        <v>115381.95918247623</v>
      </c>
      <c r="J37" s="18">
        <f t="shared" si="22"/>
        <v>91297.053948479428</v>
      </c>
      <c r="K37" s="18">
        <f t="shared" si="22"/>
        <v>100214.5387114429</v>
      </c>
      <c r="L37" s="18">
        <f t="shared" si="22"/>
        <v>85856.19622366644</v>
      </c>
      <c r="M37" s="18">
        <f t="shared" ref="M37" si="23">M21*M$3</f>
        <v>100866.10839483395</v>
      </c>
      <c r="N37" s="24">
        <f t="shared" si="4"/>
        <v>98723.171292179803</v>
      </c>
    </row>
    <row r="38" spans="1:14">
      <c r="A38" s="17" t="s">
        <v>67</v>
      </c>
      <c r="B38" s="17" t="s">
        <v>30</v>
      </c>
      <c r="C38" s="18">
        <f>C22*C$2</f>
        <v>103044.23359676292</v>
      </c>
      <c r="D38" s="18">
        <f t="shared" ref="D38:L38" si="24">D22*D$2</f>
        <v>88748.605860249561</v>
      </c>
      <c r="E38" s="18">
        <f t="shared" si="24"/>
        <v>88252.951997110431</v>
      </c>
      <c r="F38" s="18">
        <f t="shared" si="24"/>
        <v>124915.24434757656</v>
      </c>
      <c r="G38" s="18">
        <f t="shared" si="24"/>
        <v>134389.50613755168</v>
      </c>
      <c r="H38" s="18">
        <f t="shared" si="24"/>
        <v>199163.18071056769</v>
      </c>
      <c r="I38" s="18">
        <f t="shared" si="24"/>
        <v>210907.42739106956</v>
      </c>
      <c r="J38" s="18">
        <f t="shared" si="24"/>
        <v>192800.14388578761</v>
      </c>
      <c r="K38" s="18">
        <f t="shared" si="24"/>
        <v>213532.19635297311</v>
      </c>
      <c r="L38" s="18">
        <f t="shared" si="24"/>
        <v>209472.47943027495</v>
      </c>
      <c r="M38" s="18">
        <f t="shared" ref="M38" si="25">M22*M$2</f>
        <v>169240.36331185786</v>
      </c>
      <c r="N38" s="24">
        <f t="shared" si="4"/>
        <v>199190.52207439262</v>
      </c>
    </row>
  </sheetData>
  <sortState ref="A49:M61">
    <sortCondition descending="1" ref="J49:J61"/>
  </sortState>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Capex!C10:L10</xm:f>
              <xm:sqref>N10</xm:sqref>
            </x14:sparkline>
            <x14:sparkline>
              <xm:f>Capex!C11:L11</xm:f>
              <xm:sqref>N11</xm:sqref>
            </x14:sparkline>
            <x14:sparkline>
              <xm:f>Capex!C12:L12</xm:f>
              <xm:sqref>N12</xm:sqref>
            </x14:sparkline>
            <x14:sparkline>
              <xm:f>Capex!C13:L13</xm:f>
              <xm:sqref>N13</xm:sqref>
            </x14:sparkline>
            <x14:sparkline>
              <xm:f>Capex!C14:L14</xm:f>
              <xm:sqref>N14</xm:sqref>
            </x14:sparkline>
            <x14:sparkline>
              <xm:f>Capex!C15:L15</xm:f>
              <xm:sqref>N15</xm:sqref>
            </x14:sparkline>
            <x14:sparkline>
              <xm:f>Capex!C16:L16</xm:f>
              <xm:sqref>N16</xm:sqref>
            </x14:sparkline>
            <x14:sparkline>
              <xm:f>Capex!C17:L17</xm:f>
              <xm:sqref>N17</xm:sqref>
            </x14:sparkline>
            <x14:sparkline>
              <xm:f>Capex!C18:L18</xm:f>
              <xm:sqref>N18</xm:sqref>
            </x14:sparkline>
            <x14:sparkline>
              <xm:f>Capex!C19:L19</xm:f>
              <xm:sqref>N19</xm:sqref>
            </x14:sparkline>
            <x14:sparkline>
              <xm:f>Capex!C20:L20</xm:f>
              <xm:sqref>N20</xm:sqref>
            </x14:sparkline>
            <x14:sparkline>
              <xm:f>Capex!C21:L21</xm:f>
              <xm:sqref>N21</xm:sqref>
            </x14:sparkline>
            <x14:sparkline>
              <xm:f>Capex!C22:L22</xm:f>
              <xm:sqref>N22</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6"/>
  <sheetViews>
    <sheetView topLeftCell="A25" zoomScale="75" zoomScaleNormal="75" workbookViewId="0">
      <selection activeCell="C30" sqref="C30"/>
    </sheetView>
  </sheetViews>
  <sheetFormatPr defaultRowHeight="15"/>
  <cols>
    <col min="1" max="1" width="11" customWidth="1"/>
    <col min="2" max="2" width="6" customWidth="1"/>
    <col min="3" max="3" width="11.28515625" bestFit="1" customWidth="1"/>
    <col min="4" max="4" width="9.42578125" customWidth="1"/>
    <col min="5" max="5" width="9.85546875" customWidth="1"/>
    <col min="6" max="6" width="9.7109375" customWidth="1"/>
    <col min="7" max="7" width="10.42578125" customWidth="1"/>
    <col min="8" max="8" width="9.85546875" customWidth="1"/>
    <col min="9" max="9" width="9.42578125" customWidth="1"/>
    <col min="10" max="11" width="9.85546875" customWidth="1"/>
    <col min="12" max="12" width="12" customWidth="1"/>
    <col min="13" max="13" width="14.85546875" style="2" customWidth="1"/>
    <col min="26" max="26" width="8.85546875" bestFit="1" customWidth="1"/>
    <col min="27" max="27" width="12" customWidth="1"/>
    <col min="28" max="28" width="11.28515625" customWidth="1"/>
    <col min="29" max="29" width="12.28515625" customWidth="1"/>
    <col min="30" max="33" width="8.85546875" bestFit="1" customWidth="1"/>
    <col min="34" max="34" width="9.42578125" bestFit="1" customWidth="1"/>
    <col min="35" max="35" width="8.85546875" bestFit="1" customWidth="1"/>
  </cols>
  <sheetData>
    <row r="1" spans="1:13" s="23" customFormat="1">
      <c r="A1" s="23" t="s">
        <v>156</v>
      </c>
    </row>
    <row r="2" spans="1:13" s="23" customFormat="1"/>
    <row r="3" spans="1:13">
      <c r="A3" s="23" t="s">
        <v>145</v>
      </c>
    </row>
    <row r="5" spans="1:13">
      <c r="A5" s="2" t="s">
        <v>146</v>
      </c>
      <c r="B5" s="2"/>
      <c r="C5" s="2"/>
      <c r="D5" s="2"/>
      <c r="E5" s="2"/>
      <c r="F5" s="2"/>
      <c r="G5" s="2"/>
      <c r="H5" s="2"/>
      <c r="I5" s="2"/>
      <c r="J5" s="2"/>
      <c r="K5" s="2"/>
      <c r="L5" s="30"/>
      <c r="M5" s="30"/>
    </row>
    <row r="6" spans="1:13">
      <c r="A6" s="93"/>
      <c r="B6" s="34"/>
      <c r="C6" s="34"/>
      <c r="D6" s="2"/>
      <c r="E6" s="2"/>
      <c r="F6" s="2"/>
      <c r="G6" s="2"/>
      <c r="H6" s="2"/>
      <c r="I6" s="2"/>
      <c r="J6" s="2"/>
      <c r="K6" s="2"/>
      <c r="L6" s="2"/>
    </row>
    <row r="7" spans="1:13">
      <c r="A7" s="2"/>
      <c r="B7" s="2"/>
      <c r="C7" s="2">
        <v>2006</v>
      </c>
      <c r="D7" s="2">
        <v>2007</v>
      </c>
      <c r="E7" s="2">
        <v>2008</v>
      </c>
      <c r="F7" s="2">
        <v>2009</v>
      </c>
      <c r="G7" s="2">
        <v>2010</v>
      </c>
      <c r="H7" s="2">
        <v>2011</v>
      </c>
      <c r="I7" s="2">
        <v>2012</v>
      </c>
      <c r="J7" s="2">
        <v>2013</v>
      </c>
      <c r="K7" s="2">
        <v>2014</v>
      </c>
      <c r="L7" s="2">
        <v>2015</v>
      </c>
      <c r="M7" s="2">
        <v>2016</v>
      </c>
    </row>
    <row r="8" spans="1:13">
      <c r="A8" s="17" t="s">
        <v>1</v>
      </c>
      <c r="B8" s="17" t="s">
        <v>100</v>
      </c>
      <c r="C8" s="45">
        <f>'[3]6. Physical Assets'!D52</f>
        <v>0</v>
      </c>
      <c r="D8" s="45">
        <f>'[3]6. Physical Assets'!E52</f>
        <v>0</v>
      </c>
      <c r="E8" s="45">
        <f>'[3]6. Physical Assets'!F52</f>
        <v>0</v>
      </c>
      <c r="F8" s="45">
        <f>'[3]6. Physical Assets'!G52</f>
        <v>0</v>
      </c>
      <c r="G8" s="45">
        <f>'[3]6. Physical Assets'!H52</f>
        <v>0</v>
      </c>
      <c r="H8" s="45">
        <f>'[3]6. Physical Assets'!I52</f>
        <v>0</v>
      </c>
      <c r="I8" s="45">
        <f>'[3]6. Physical Assets'!J52</f>
        <v>0</v>
      </c>
      <c r="J8" s="45">
        <f>'[3]6. Physical Assets'!K52</f>
        <v>0</v>
      </c>
      <c r="K8" s="45">
        <f>'[4]3.5 Physical assets'!E83</f>
        <v>0</v>
      </c>
      <c r="L8" s="45">
        <f>'[5]3.5 Physical assets'!E83</f>
        <v>0</v>
      </c>
      <c r="M8" s="45">
        <f>'[6]3.5 Physical assets'!C83</f>
        <v>0</v>
      </c>
    </row>
    <row r="9" spans="1:13">
      <c r="A9" s="17" t="s">
        <v>78</v>
      </c>
      <c r="B9" s="17" t="s">
        <v>100</v>
      </c>
      <c r="C9" s="45">
        <f>'[7]6. Physical Assets'!D56</f>
        <v>7545</v>
      </c>
      <c r="D9" s="45">
        <f>'[7]6. Physical Assets'!E56</f>
        <v>7571</v>
      </c>
      <c r="E9" s="45">
        <f>'[7]6. Physical Assets'!F56</f>
        <v>7597</v>
      </c>
      <c r="F9" s="45">
        <f>'[7]6. Physical Assets'!G56</f>
        <v>7623</v>
      </c>
      <c r="G9" s="45">
        <f>'[7]6. Physical Assets'!H56</f>
        <v>7649</v>
      </c>
      <c r="H9" s="45">
        <f>'[7]6. Physical Assets'!I56</f>
        <v>7904</v>
      </c>
      <c r="I9" s="45">
        <f>'[7]6. Physical Assets'!J56</f>
        <v>7713</v>
      </c>
      <c r="J9" s="45">
        <f>'[7]6. Physical Assets'!K56</f>
        <v>7728</v>
      </c>
      <c r="K9" s="45">
        <f>'[8]3.5 Physical assets'!E83</f>
        <v>7888</v>
      </c>
      <c r="L9" s="45">
        <f>'[9]3.5 Physical assets'!E83</f>
        <v>7858</v>
      </c>
      <c r="M9" s="45">
        <f>'[10]3.5 Physical assets'!C83</f>
        <v>7738</v>
      </c>
    </row>
    <row r="10" spans="1:13">
      <c r="A10" s="17" t="s">
        <v>2</v>
      </c>
      <c r="B10" s="17" t="s">
        <v>100</v>
      </c>
      <c r="C10" s="45">
        <f>'[11]6. Physical Assets'!D57</f>
        <v>0</v>
      </c>
      <c r="D10" s="45">
        <f>'[11]6. Physical Assets'!E57</f>
        <v>0</v>
      </c>
      <c r="E10" s="45">
        <f>'[11]6. Physical Assets'!F57</f>
        <v>0</v>
      </c>
      <c r="F10" s="45">
        <f>'[11]6. Physical Assets'!G57</f>
        <v>0</v>
      </c>
      <c r="G10" s="45">
        <f>'[11]6. Physical Assets'!H57</f>
        <v>0</v>
      </c>
      <c r="H10" s="45">
        <f>'[11]6. Physical Assets'!I57</f>
        <v>0</v>
      </c>
      <c r="I10" s="45">
        <f>'[11]6. Physical Assets'!J57</f>
        <v>0</v>
      </c>
      <c r="J10" s="45">
        <f>'[11]6. Physical Assets'!K57</f>
        <v>0</v>
      </c>
      <c r="K10" s="45">
        <f>'[12]3.5 Physical assets'!E83</f>
        <v>0</v>
      </c>
      <c r="L10" s="45">
        <f>'[13]3.5 Physical assets'!E83</f>
        <v>0</v>
      </c>
      <c r="M10" s="45">
        <f>'[14]3.5 Physical assets'!C83</f>
        <v>0</v>
      </c>
    </row>
    <row r="11" spans="1:13">
      <c r="A11" s="17" t="s">
        <v>3</v>
      </c>
      <c r="B11" s="17" t="s">
        <v>100</v>
      </c>
      <c r="C11" s="45">
        <f>'[15]6. Physical Assets'!D56</f>
        <v>4844</v>
      </c>
      <c r="D11" s="45">
        <f>'[15]6. Physical Assets'!E56</f>
        <v>5354</v>
      </c>
      <c r="E11" s="45">
        <f>'[15]6. Physical Assets'!F56</f>
        <v>5534</v>
      </c>
      <c r="F11" s="45">
        <f>'[15]6. Physical Assets'!G56</f>
        <v>5706</v>
      </c>
      <c r="G11" s="45">
        <f>'[15]6. Physical Assets'!H56</f>
        <v>5864</v>
      </c>
      <c r="H11" s="45">
        <f>'[15]6. Physical Assets'!I56</f>
        <v>5864</v>
      </c>
      <c r="I11" s="45">
        <f>'[15]6. Physical Assets'!J56</f>
        <v>6104</v>
      </c>
      <c r="J11" s="45">
        <f>'[15]6. Physical Assets'!K56</f>
        <v>6104</v>
      </c>
      <c r="K11" s="45">
        <f>'[16]3.5 Physical assets'!E83</f>
        <v>5540</v>
      </c>
      <c r="L11" s="45">
        <f>'[17]3.5 Physical assets'!E83</f>
        <v>5450</v>
      </c>
      <c r="M11" s="45">
        <f>'[18]3.5 Physical assets'!C83</f>
        <v>5420</v>
      </c>
    </row>
    <row r="12" spans="1:13">
      <c r="A12" s="17" t="s">
        <v>4</v>
      </c>
      <c r="B12" s="17" t="s">
        <v>100</v>
      </c>
      <c r="C12" s="32">
        <f>'[19]6. Physical Assets'!D52</f>
        <v>6316.4999694824219</v>
      </c>
      <c r="D12" s="32">
        <f>'[19]6. Physical Assets'!E52</f>
        <v>6992.2999572753906</v>
      </c>
      <c r="E12" s="32">
        <f>'[19]6. Physical Assets'!F52</f>
        <v>7193.9999542236328</v>
      </c>
      <c r="F12" s="32">
        <f>'[19]6. Physical Assets'!G52</f>
        <v>7193.9999542236328</v>
      </c>
      <c r="G12" s="32">
        <f>'[19]6. Physical Assets'!H52</f>
        <v>7291.9999542236328</v>
      </c>
      <c r="H12" s="32">
        <f>'[19]6. Physical Assets'!I52</f>
        <v>7619.5999603271484</v>
      </c>
      <c r="I12" s="32">
        <f>'[19]6. Physical Assets'!J52</f>
        <v>7792.9999542236328</v>
      </c>
      <c r="J12" s="32">
        <f>'[19]6. Physical Assets'!K52</f>
        <v>7792.9999542236301</v>
      </c>
      <c r="K12" s="32">
        <f>'[20]3.5 Physical assets'!E83</f>
        <v>8041.9</v>
      </c>
      <c r="L12" s="96">
        <f>'[21]3.5 Physical assets'!E83</f>
        <v>8051.5</v>
      </c>
      <c r="M12" s="96">
        <f>'[22]3.5 Physical assets'!C83</f>
        <v>8196.6999969482422</v>
      </c>
    </row>
    <row r="13" spans="1:13">
      <c r="A13" s="17" t="s">
        <v>10</v>
      </c>
      <c r="B13" s="17" t="s">
        <v>100</v>
      </c>
      <c r="C13" s="45">
        <f>'[23]6. Physical Assets'!D62</f>
        <v>2622.58</v>
      </c>
      <c r="D13" s="45">
        <f>'[23]6. Physical Assets'!E62</f>
        <v>2732.26</v>
      </c>
      <c r="E13" s="45">
        <f>'[23]6. Physical Assets'!F62</f>
        <v>2714.4</v>
      </c>
      <c r="F13" s="45">
        <f>'[23]6. Physical Assets'!G62</f>
        <v>2680.4</v>
      </c>
      <c r="G13" s="45">
        <f>'[23]6. Physical Assets'!H62</f>
        <v>2744.4</v>
      </c>
      <c r="H13" s="45">
        <f>'[23]6. Physical Assets'!I62</f>
        <v>2881.4</v>
      </c>
      <c r="I13" s="45">
        <f>'[23]6. Physical Assets'!J62</f>
        <v>3105.4</v>
      </c>
      <c r="J13" s="45">
        <f>'[23]6. Physical Assets'!K62</f>
        <v>3330.15</v>
      </c>
      <c r="K13" s="45">
        <f>'[24]3.5 Physical assets'!E83</f>
        <v>3266.15</v>
      </c>
      <c r="L13" s="45">
        <f>'[25]3.5 Physical assets'!E83</f>
        <v>3329.15</v>
      </c>
      <c r="M13" s="45">
        <f>'[26]3.5 Physical assets'!C83</f>
        <v>3346.75</v>
      </c>
    </row>
    <row r="14" spans="1:13">
      <c r="A14" s="17" t="s">
        <v>5</v>
      </c>
      <c r="B14" s="17" t="s">
        <v>100</v>
      </c>
      <c r="C14" s="45">
        <f>'[27]6. Physical Assets'!D64</f>
        <v>1541</v>
      </c>
      <c r="D14" s="45">
        <f>'[27]6. Physical Assets'!E64</f>
        <v>1661</v>
      </c>
      <c r="E14" s="45">
        <f>'[27]6. Physical Assets'!F64</f>
        <v>1836</v>
      </c>
      <c r="F14" s="45">
        <f>'[27]6. Physical Assets'!G64</f>
        <v>1836</v>
      </c>
      <c r="G14" s="45">
        <f>'[27]6. Physical Assets'!H64</f>
        <v>1866</v>
      </c>
      <c r="H14" s="45">
        <f>'[27]6. Physical Assets'!I64</f>
        <v>1971</v>
      </c>
      <c r="I14" s="45">
        <f>'[27]6. Physical Assets'!J64</f>
        <v>2001</v>
      </c>
      <c r="J14" s="45">
        <f>'[27]6. Physical Assets'!K64</f>
        <v>2031</v>
      </c>
      <c r="K14" s="45">
        <f>'[28]3.5 Physical assets'!E83</f>
        <v>2081</v>
      </c>
      <c r="L14" s="45">
        <f>'[29]3.5 Physical assets'!E83</f>
        <v>2131</v>
      </c>
      <c r="M14" s="45">
        <f>'[30]3.5 Physical assets'!C83</f>
        <v>2109</v>
      </c>
    </row>
    <row r="15" spans="1:13">
      <c r="A15" s="17" t="s">
        <v>6</v>
      </c>
      <c r="B15" s="17" t="s">
        <v>100</v>
      </c>
      <c r="C15" s="45">
        <f>'[31]6. Physical Assets'!D58</f>
        <v>0</v>
      </c>
      <c r="D15" s="45">
        <f>'[31]6. Physical Assets'!E58</f>
        <v>0</v>
      </c>
      <c r="E15" s="45">
        <f>'[31]6. Physical Assets'!F58</f>
        <v>0</v>
      </c>
      <c r="F15" s="45">
        <f>'[31]6. Physical Assets'!G58</f>
        <v>0</v>
      </c>
      <c r="G15" s="45">
        <f>'[31]6. Physical Assets'!H58</f>
        <v>0</v>
      </c>
      <c r="H15" s="45">
        <f>'[31]6. Physical Assets'!I58</f>
        <v>0</v>
      </c>
      <c r="I15" s="45">
        <f>'[31]6. Physical Assets'!J58</f>
        <v>0</v>
      </c>
      <c r="J15" s="45">
        <f>'[31]6. Physical Assets'!K58</f>
        <v>0</v>
      </c>
      <c r="K15" s="45">
        <f>'[32]3.5 Physical assets'!E83</f>
        <v>0</v>
      </c>
      <c r="L15" s="45">
        <f>'[33]3.5 Physical assets'!E83</f>
        <v>0</v>
      </c>
      <c r="M15" s="45">
        <f>'[34]3.5 Physical assets'!C83</f>
        <v>0</v>
      </c>
    </row>
    <row r="16" spans="1:13">
      <c r="A16" s="17" t="s">
        <v>7</v>
      </c>
      <c r="B16" s="17" t="s">
        <v>100</v>
      </c>
      <c r="C16" s="45">
        <f>'[35]6. Physical Assets'!D58</f>
        <v>0</v>
      </c>
      <c r="D16" s="45">
        <f>'[35]6. Physical Assets'!E58</f>
        <v>0</v>
      </c>
      <c r="E16" s="45">
        <f>'[35]6. Physical Assets'!F58</f>
        <v>0</v>
      </c>
      <c r="F16" s="45">
        <f>'[35]6. Physical Assets'!G58</f>
        <v>0</v>
      </c>
      <c r="G16" s="45">
        <f>'[35]6. Physical Assets'!H58</f>
        <v>0</v>
      </c>
      <c r="H16" s="45">
        <f>'[35]6. Physical Assets'!I58</f>
        <v>0</v>
      </c>
      <c r="I16" s="45">
        <f>'[35]6. Physical Assets'!J58</f>
        <v>0</v>
      </c>
      <c r="J16" s="45">
        <f>'[35]6. Physical Assets'!K58</f>
        <v>0</v>
      </c>
      <c r="K16" s="45">
        <f>'[36]3.5 Physical assets'!E83</f>
        <v>0</v>
      </c>
      <c r="L16" s="45">
        <f>'[37]3.5 Physical assets'!E83</f>
        <v>0</v>
      </c>
      <c r="M16" s="45">
        <f>'[38]3.5 Physical assets'!C83</f>
        <v>0</v>
      </c>
    </row>
    <row r="17" spans="1:13">
      <c r="A17" s="17" t="s">
        <v>8</v>
      </c>
      <c r="B17" s="17" t="s">
        <v>100</v>
      </c>
      <c r="C17" s="45">
        <f>'[39]6. Physical Assets'!D58</f>
        <v>310.8</v>
      </c>
      <c r="D17" s="45">
        <f>'[39]6. Physical Assets'!E58</f>
        <v>310.8</v>
      </c>
      <c r="E17" s="45">
        <f>'[39]6. Physical Assets'!F58</f>
        <v>310.8</v>
      </c>
      <c r="F17" s="45">
        <f>'[39]6. Physical Assets'!G58</f>
        <v>328.8</v>
      </c>
      <c r="G17" s="45">
        <f>'[39]6. Physical Assets'!H58</f>
        <v>346.3</v>
      </c>
      <c r="H17" s="45">
        <f>'[39]6. Physical Assets'!I58</f>
        <v>351.3</v>
      </c>
      <c r="I17" s="45">
        <f>'[39]6. Physical Assets'!J58</f>
        <v>351.3</v>
      </c>
      <c r="J17" s="45">
        <f>'[39]6. Physical Assets'!K58</f>
        <v>351.3</v>
      </c>
      <c r="K17" s="45">
        <f>'[40]3.5 Physical assets'!E83</f>
        <v>326.10000000000002</v>
      </c>
      <c r="L17" s="45">
        <f>'[41]3.5 Physical assets'!E83</f>
        <v>301.10000000000002</v>
      </c>
      <c r="M17" s="45">
        <f>'[42]3.5 Physical assets'!C83</f>
        <v>304.60000000000002</v>
      </c>
    </row>
    <row r="18" spans="1:13">
      <c r="A18" s="17" t="s">
        <v>73</v>
      </c>
      <c r="B18" s="17" t="s">
        <v>100</v>
      </c>
      <c r="C18" s="45">
        <f>'[43]6. Physical Assets'!D58</f>
        <v>0</v>
      </c>
      <c r="D18" s="45">
        <f>'[43]6. Physical Assets'!E58</f>
        <v>0</v>
      </c>
      <c r="E18" s="45">
        <f>'[43]6. Physical Assets'!F58</f>
        <v>0</v>
      </c>
      <c r="F18" s="45">
        <f>'[43]6. Physical Assets'!G58</f>
        <v>0</v>
      </c>
      <c r="G18" s="45">
        <f>'[43]6. Physical Assets'!H58</f>
        <v>0</v>
      </c>
      <c r="H18" s="45">
        <f>'[43]6. Physical Assets'!I58</f>
        <v>0</v>
      </c>
      <c r="I18" s="45">
        <f>'[43]6. Physical Assets'!J58</f>
        <v>0</v>
      </c>
      <c r="J18" s="45">
        <f>'[43]6. Physical Assets'!K58</f>
        <v>0</v>
      </c>
      <c r="K18" s="45">
        <f>'[44]3.5 Physical assets'!E83</f>
        <v>0</v>
      </c>
      <c r="L18" s="45">
        <f>'[45]3.5 Physical assets'!E83</f>
        <v>0</v>
      </c>
      <c r="M18" s="45">
        <f>'[46]3.5 Physical assets'!C83</f>
        <v>0</v>
      </c>
    </row>
    <row r="19" spans="1:13">
      <c r="A19" s="17" t="s">
        <v>54</v>
      </c>
      <c r="B19" s="17" t="s">
        <v>100</v>
      </c>
      <c r="C19" s="45">
        <f>'[47]6. Physical Assets'!D63</f>
        <v>0</v>
      </c>
      <c r="D19" s="45">
        <f>'[47]6. Physical Assets'!E63</f>
        <v>0</v>
      </c>
      <c r="E19" s="45">
        <f>'[47]6. Physical Assets'!F63</f>
        <v>0</v>
      </c>
      <c r="F19" s="45">
        <f>'[47]6. Physical Assets'!G63</f>
        <v>0</v>
      </c>
      <c r="G19" s="45">
        <f>'[47]6. Physical Assets'!H63</f>
        <v>0</v>
      </c>
      <c r="H19" s="45">
        <f>'[47]6. Physical Assets'!I63</f>
        <v>0</v>
      </c>
      <c r="I19" s="45">
        <f>'[47]6. Physical Assets'!J63</f>
        <v>0</v>
      </c>
      <c r="J19" s="45">
        <f>'[47]6. Physical Assets'!K63</f>
        <v>0</v>
      </c>
      <c r="K19" s="45">
        <f>'[48]3.5 Physical assets'!E83</f>
        <v>0</v>
      </c>
      <c r="L19" s="45">
        <f>'[49]3.5 Physical assets'!E83</f>
        <v>0</v>
      </c>
      <c r="M19" s="45">
        <f>'[50]3.5 Physical assets'!C83</f>
        <v>0</v>
      </c>
    </row>
    <row r="20" spans="1:13">
      <c r="A20" s="17" t="s">
        <v>9</v>
      </c>
      <c r="B20" s="17" t="s">
        <v>100</v>
      </c>
      <c r="C20" s="45">
        <f>'[51]6. Physical Assets'!D56</f>
        <v>0</v>
      </c>
      <c r="D20" s="45">
        <f>'[51]6. Physical Assets'!E56</f>
        <v>0</v>
      </c>
      <c r="E20" s="45">
        <f>'[51]6. Physical Assets'!F56</f>
        <v>0</v>
      </c>
      <c r="F20" s="45">
        <f>'[51]6. Physical Assets'!G56</f>
        <v>0</v>
      </c>
      <c r="G20" s="45">
        <f>'[51]6. Physical Assets'!H56</f>
        <v>0</v>
      </c>
      <c r="H20" s="45">
        <f>'[51]6. Physical Assets'!I56</f>
        <v>0</v>
      </c>
      <c r="I20" s="45">
        <f>'[51]6. Physical Assets'!J56</f>
        <v>0</v>
      </c>
      <c r="J20" s="45">
        <f>'[51]6. Physical Assets'!K56</f>
        <v>0</v>
      </c>
      <c r="K20" s="45">
        <f>'[52]3.5 Physical assets'!E83</f>
        <v>0</v>
      </c>
      <c r="L20" s="45">
        <f>'[53]3.5 Physical assets'!E83</f>
        <v>0</v>
      </c>
      <c r="M20" s="45">
        <f>'[54]3.5 Physical assets'!C83</f>
        <v>0</v>
      </c>
    </row>
    <row r="22" spans="1:13">
      <c r="A22" t="s">
        <v>147</v>
      </c>
    </row>
    <row r="24" spans="1:13">
      <c r="A24" s="2"/>
      <c r="B24" s="2"/>
      <c r="C24" s="2">
        <v>2006</v>
      </c>
      <c r="D24" s="2">
        <v>2007</v>
      </c>
      <c r="E24" s="2">
        <v>2008</v>
      </c>
      <c r="F24" s="2">
        <v>2009</v>
      </c>
      <c r="G24" s="2">
        <v>2010</v>
      </c>
      <c r="H24" s="2">
        <v>2011</v>
      </c>
      <c r="I24" s="2">
        <v>2012</v>
      </c>
      <c r="J24" s="2">
        <v>2013</v>
      </c>
      <c r="K24" s="2">
        <v>2014</v>
      </c>
      <c r="L24" s="2">
        <v>2015</v>
      </c>
      <c r="M24" s="2">
        <v>2016</v>
      </c>
    </row>
    <row r="25" spans="1:13">
      <c r="A25" s="17" t="s">
        <v>1</v>
      </c>
      <c r="B25" s="17" t="s">
        <v>100</v>
      </c>
      <c r="C25" s="45">
        <f>'[3]6. Physical Assets'!D55</f>
        <v>1343</v>
      </c>
      <c r="D25" s="45">
        <f>'[3]6. Physical Assets'!E55</f>
        <v>1343</v>
      </c>
      <c r="E25" s="45">
        <f>'[3]6. Physical Assets'!F55</f>
        <v>1348</v>
      </c>
      <c r="F25" s="45">
        <f>'[3]6. Physical Assets'!G55</f>
        <v>1363</v>
      </c>
      <c r="G25" s="45">
        <f>'[3]6. Physical Assets'!H55</f>
        <v>1363</v>
      </c>
      <c r="H25" s="45">
        <f>'[3]6. Physical Assets'!I55</f>
        <v>1418</v>
      </c>
      <c r="I25" s="45">
        <f>'[3]6. Physical Assets'!J55</f>
        <v>1418</v>
      </c>
      <c r="J25" s="45">
        <f>'[3]6. Physical Assets'!K55</f>
        <v>1426</v>
      </c>
      <c r="K25" s="45">
        <f>'[4]3.5 Physical assets'!E86</f>
        <v>1478</v>
      </c>
      <c r="L25" s="45">
        <f>'[5]3.5 Physical assets'!E86</f>
        <v>1478</v>
      </c>
      <c r="M25" s="45">
        <f>'[6]3.5 Physical assets'!C86</f>
        <v>1478</v>
      </c>
    </row>
    <row r="26" spans="1:13">
      <c r="A26" s="17" t="s">
        <v>78</v>
      </c>
      <c r="B26" s="17" t="s">
        <v>100</v>
      </c>
      <c r="C26" s="45">
        <f>'[7]6. Physical Assets'!D59</f>
        <v>19349.5</v>
      </c>
      <c r="D26" s="45">
        <f>'[7]6. Physical Assets'!E59</f>
        <v>19869.5</v>
      </c>
      <c r="E26" s="45">
        <f>'[7]6. Physical Assets'!F59</f>
        <v>20426</v>
      </c>
      <c r="F26" s="45">
        <f>'[7]6. Physical Assets'!G59</f>
        <v>21523.5</v>
      </c>
      <c r="G26" s="45">
        <f>'[7]6. Physical Assets'!H59</f>
        <v>22622</v>
      </c>
      <c r="H26" s="45">
        <f>'[7]6. Physical Assets'!I59</f>
        <v>23366.5</v>
      </c>
      <c r="I26" s="45">
        <f>'[7]6. Physical Assets'!J59</f>
        <v>24053</v>
      </c>
      <c r="J26" s="45">
        <f>'[7]6. Physical Assets'!K59</f>
        <v>24930</v>
      </c>
      <c r="K26" s="45">
        <f>'[8]3.5 Physical assets'!E86</f>
        <v>25649</v>
      </c>
      <c r="L26" s="45">
        <f>'[9]3.5 Physical assets'!E86</f>
        <v>25956</v>
      </c>
      <c r="M26" s="45">
        <f>'[10]3.5 Physical assets'!C86</f>
        <v>25760</v>
      </c>
    </row>
    <row r="27" spans="1:13">
      <c r="A27" s="17" t="s">
        <v>2</v>
      </c>
      <c r="B27" s="17" t="s">
        <v>100</v>
      </c>
      <c r="C27" s="45">
        <f>'[11]6. Physical Assets'!D60</f>
        <v>2511.9</v>
      </c>
      <c r="D27" s="45">
        <f>'[11]6. Physical Assets'!E60</f>
        <v>2525.4</v>
      </c>
      <c r="E27" s="45">
        <f>'[11]6. Physical Assets'!F60</f>
        <v>2525.4</v>
      </c>
      <c r="F27" s="45">
        <f>'[11]6. Physical Assets'!G60</f>
        <v>2520</v>
      </c>
      <c r="G27" s="45">
        <f>'[11]6. Physical Assets'!H60</f>
        <v>2630</v>
      </c>
      <c r="H27" s="45">
        <f>'[11]6. Physical Assets'!I60</f>
        <v>2685</v>
      </c>
      <c r="I27" s="45">
        <f>'[11]6. Physical Assets'!J60</f>
        <v>2740</v>
      </c>
      <c r="J27" s="45">
        <f>'[11]6. Physical Assets'!K60</f>
        <v>2740</v>
      </c>
      <c r="K27" s="45">
        <f>'[12]3.5 Physical assets'!E86</f>
        <v>2826.9</v>
      </c>
      <c r="L27" s="45">
        <f>'[13]3.5 Physical assets'!E86</f>
        <v>2777</v>
      </c>
      <c r="M27" s="45">
        <f>'[14]3.5 Physical assets'!C86</f>
        <v>2777</v>
      </c>
    </row>
    <row r="28" spans="1:13">
      <c r="A28" s="17" t="s">
        <v>3</v>
      </c>
      <c r="B28" s="17" t="s">
        <v>100</v>
      </c>
      <c r="C28" s="45">
        <f>'[15]6. Physical Assets'!D59</f>
        <v>11766</v>
      </c>
      <c r="D28" s="45">
        <f>'[15]6. Physical Assets'!E59</f>
        <v>12846</v>
      </c>
      <c r="E28" s="45">
        <f>'[15]6. Physical Assets'!F59</f>
        <v>13226.5</v>
      </c>
      <c r="F28" s="45">
        <f>'[15]6. Physical Assets'!G59</f>
        <v>13593.75</v>
      </c>
      <c r="G28" s="45">
        <f>'[15]6. Physical Assets'!H59</f>
        <v>14053.75</v>
      </c>
      <c r="H28" s="45">
        <f>'[15]6. Physical Assets'!I59</f>
        <v>14069.5</v>
      </c>
      <c r="I28" s="45">
        <f>'[15]6. Physical Assets'!J59</f>
        <v>14566</v>
      </c>
      <c r="J28" s="45">
        <f>'[15]6. Physical Assets'!K59</f>
        <v>15121</v>
      </c>
      <c r="K28" s="45">
        <f>'[16]3.5 Physical assets'!E86</f>
        <v>15353.5</v>
      </c>
      <c r="L28" s="45">
        <f>'[17]3.5 Physical assets'!E86</f>
        <v>15196.5</v>
      </c>
      <c r="M28" s="45">
        <f>'[18]3.5 Physical assets'!C86</f>
        <v>15206.5</v>
      </c>
    </row>
    <row r="29" spans="1:13">
      <c r="A29" s="17" t="s">
        <v>4</v>
      </c>
      <c r="B29" s="17" t="s">
        <v>100</v>
      </c>
      <c r="C29" s="45">
        <f>'[19]6. Physical Assets'!D55</f>
        <v>16240.399970412254</v>
      </c>
      <c r="D29" s="45">
        <f>'[19]6. Physical Assets'!E55</f>
        <v>17553.99996316433</v>
      </c>
      <c r="E29" s="45">
        <f>'[19]6. Physical Assets'!F55</f>
        <v>17870.799960494041</v>
      </c>
      <c r="F29" s="45">
        <f>'[19]6. Physical Assets'!G55</f>
        <v>18129.39996278286</v>
      </c>
      <c r="G29" s="45">
        <f>'[19]6. Physical Assets'!H55</f>
        <v>18410.79996240139</v>
      </c>
      <c r="H29" s="45">
        <f>'[19]6. Physical Assets'!I55</f>
        <v>19028.099969267845</v>
      </c>
      <c r="I29" s="45">
        <f>'[19]6. Physical Assets'!J55</f>
        <v>19362.19996087551</v>
      </c>
      <c r="J29" s="45">
        <f>'[19]6. Physical Assets'!K55</f>
        <v>19642.899960875508</v>
      </c>
      <c r="K29" s="45">
        <f>'[20]3.5 Physical assets'!E86</f>
        <v>20119.199999999997</v>
      </c>
      <c r="L29" s="45">
        <f>'[21]3.5 Physical assets'!E86</f>
        <v>20980.400000000001</v>
      </c>
      <c r="M29" s="45">
        <f>'[22]3.5 Physical assets'!C86</f>
        <v>21150.608001144406</v>
      </c>
    </row>
    <row r="30" spans="1:13">
      <c r="A30" s="17" t="s">
        <v>10</v>
      </c>
      <c r="B30" s="17" t="s">
        <v>100</v>
      </c>
      <c r="C30" s="45">
        <f>'[23]6. Physical Assets'!D65</f>
        <v>7093.9629999999997</v>
      </c>
      <c r="D30" s="45">
        <f>'[23]6. Physical Assets'!E65</f>
        <v>7344.6229999999996</v>
      </c>
      <c r="E30" s="45">
        <f>'[23]6. Physical Assets'!F65</f>
        <v>7294.5709999999999</v>
      </c>
      <c r="F30" s="45">
        <f>'[23]6. Physical Assets'!G65</f>
        <v>7270.3310000000001</v>
      </c>
      <c r="G30" s="45">
        <f>'[23]6. Physical Assets'!H65</f>
        <v>7887.1210000000001</v>
      </c>
      <c r="H30" s="45">
        <f>'[23]6. Physical Assets'!I65</f>
        <v>8183.0309999999999</v>
      </c>
      <c r="I30" s="45">
        <f>'[23]6. Physical Assets'!J65</f>
        <v>8673.9310000000005</v>
      </c>
      <c r="J30" s="45">
        <f>'[23]6. Physical Assets'!K65</f>
        <v>9052.6129999999994</v>
      </c>
      <c r="K30" s="45">
        <f>'[24]3.5 Physical assets'!E86</f>
        <v>9442.125</v>
      </c>
      <c r="L30" s="45">
        <f>'[25]3.5 Physical assets'!E86</f>
        <v>9407.0930000000008</v>
      </c>
      <c r="M30" s="45">
        <f>'[26]3.5 Physical assets'!C86</f>
        <v>9729</v>
      </c>
    </row>
    <row r="31" spans="1:13">
      <c r="A31" s="17" t="s">
        <v>5</v>
      </c>
      <c r="B31" s="17" t="s">
        <v>100</v>
      </c>
      <c r="C31" s="45">
        <f>'[27]6. Physical Assets'!D67</f>
        <v>8075.15</v>
      </c>
      <c r="D31" s="45">
        <f>'[27]6. Physical Assets'!E67</f>
        <v>8787.15</v>
      </c>
      <c r="E31" s="45">
        <f>'[27]6. Physical Assets'!F67</f>
        <v>9447.15</v>
      </c>
      <c r="F31" s="45">
        <f>'[27]6. Physical Assets'!G67</f>
        <v>9617.15</v>
      </c>
      <c r="G31" s="45">
        <f>'[27]6. Physical Assets'!H67</f>
        <v>10209.65</v>
      </c>
      <c r="H31" s="45">
        <f>'[27]6. Physical Assets'!I67</f>
        <v>10500.65</v>
      </c>
      <c r="I31" s="45">
        <f>'[27]6. Physical Assets'!J67</f>
        <v>10846.65</v>
      </c>
      <c r="J31" s="45">
        <f>'[27]6. Physical Assets'!K67</f>
        <v>10945.15</v>
      </c>
      <c r="K31" s="45">
        <f>'[28]3.5 Physical assets'!E86</f>
        <v>10921.6</v>
      </c>
      <c r="L31" s="45">
        <f>'[29]3.5 Physical assets'!E86</f>
        <v>11297.1</v>
      </c>
      <c r="M31" s="45">
        <f>'[30]3.5 Physical assets'!C86</f>
        <v>11353.45</v>
      </c>
    </row>
    <row r="32" spans="1:13">
      <c r="A32" s="17" t="s">
        <v>6</v>
      </c>
      <c r="B32" s="17" t="s">
        <v>100</v>
      </c>
      <c r="C32" s="45">
        <f>'[31]6. Physical Assets'!D61</f>
        <v>1474</v>
      </c>
      <c r="D32" s="45">
        <f>'[31]6. Physical Assets'!E61</f>
        <v>1458</v>
      </c>
      <c r="E32" s="45">
        <f>'[31]6. Physical Assets'!F61</f>
        <v>1524</v>
      </c>
      <c r="F32" s="45">
        <f>'[31]6. Physical Assets'!G61</f>
        <v>1557</v>
      </c>
      <c r="G32" s="45">
        <f>'[31]6. Physical Assets'!H61</f>
        <v>1563</v>
      </c>
      <c r="H32" s="45">
        <f>'[31]6. Physical Assets'!I61</f>
        <v>1593.3</v>
      </c>
      <c r="I32" s="45">
        <f>'[31]6. Physical Assets'!J61</f>
        <v>1633.3</v>
      </c>
      <c r="J32" s="45">
        <f>'[31]6. Physical Assets'!K61</f>
        <v>1633.3</v>
      </c>
      <c r="K32" s="45">
        <f>'[32]3.5 Physical assets'!E86</f>
        <v>1644.3</v>
      </c>
      <c r="L32" s="45">
        <f>'[33]3.5 Physical assets'!E86</f>
        <v>1791</v>
      </c>
      <c r="M32" s="45">
        <f>'[34]3.5 Physical assets'!C86</f>
        <v>1791</v>
      </c>
    </row>
    <row r="33" spans="1:35">
      <c r="A33" s="17" t="s">
        <v>7</v>
      </c>
      <c r="B33" s="17" t="s">
        <v>100</v>
      </c>
      <c r="C33" s="45">
        <f>'[35]6. Physical Assets'!D61</f>
        <v>2663</v>
      </c>
      <c r="D33" s="45">
        <f>'[35]6. Physical Assets'!E61</f>
        <v>2791.8</v>
      </c>
      <c r="E33" s="45">
        <f>'[35]6. Physical Assets'!F61</f>
        <v>2862</v>
      </c>
      <c r="F33" s="45">
        <f>'[35]6. Physical Assets'!G61</f>
        <v>2893</v>
      </c>
      <c r="G33" s="45">
        <f>'[35]6. Physical Assets'!H61</f>
        <v>2903</v>
      </c>
      <c r="H33" s="45">
        <f>'[35]6. Physical Assets'!I61</f>
        <v>2947</v>
      </c>
      <c r="I33" s="45">
        <f>'[35]6. Physical Assets'!J61</f>
        <v>3058.5</v>
      </c>
      <c r="J33" s="45">
        <f>'[35]6. Physical Assets'!K61</f>
        <v>3197</v>
      </c>
      <c r="K33" s="45">
        <f>'[36]3.5 Physical assets'!E86</f>
        <v>3349</v>
      </c>
      <c r="L33" s="45">
        <f>'[37]3.5 Physical assets'!E86</f>
        <v>3291.5</v>
      </c>
      <c r="M33" s="45">
        <f>'[38]3.5 Physical assets'!C86</f>
        <v>3337</v>
      </c>
    </row>
    <row r="34" spans="1:35">
      <c r="A34" s="17" t="s">
        <v>8</v>
      </c>
      <c r="B34" s="17" t="s">
        <v>100</v>
      </c>
      <c r="C34" s="45">
        <f>'[39]6. Physical Assets'!D61</f>
        <v>4532.1600000000017</v>
      </c>
      <c r="D34" s="45">
        <f>'[39]6. Physical Assets'!E61</f>
        <v>4699.9600000000019</v>
      </c>
      <c r="E34" s="45">
        <f>'[39]6. Physical Assets'!F61</f>
        <v>4677.9550000000017</v>
      </c>
      <c r="F34" s="45">
        <f>'[39]6. Physical Assets'!G61</f>
        <v>4825.6050000000014</v>
      </c>
      <c r="G34" s="45">
        <f>'[39]6. Physical Assets'!H61</f>
        <v>5089.3050000000012</v>
      </c>
      <c r="H34" s="45">
        <f>'[39]6. Physical Assets'!I61</f>
        <v>5143.8900000000021</v>
      </c>
      <c r="I34" s="45">
        <f>'[39]6. Physical Assets'!J61</f>
        <v>5396.2900000000018</v>
      </c>
      <c r="J34" s="45">
        <f>'[39]6. Physical Assets'!K61</f>
        <v>5559.6900000000014</v>
      </c>
      <c r="K34" s="45">
        <f>'[40]3.5 Physical assets'!E86</f>
        <v>5689.590000000002</v>
      </c>
      <c r="L34" s="45">
        <f>'[41]3.5 Physical assets'!E86</f>
        <v>5757.4550000000027</v>
      </c>
      <c r="M34" s="45">
        <f>'[42]3.5 Physical assets'!C86</f>
        <v>5805.5</v>
      </c>
    </row>
    <row r="35" spans="1:35">
      <c r="A35" s="17" t="s">
        <v>73</v>
      </c>
      <c r="B35" s="17" t="s">
        <v>100</v>
      </c>
      <c r="C35" s="45">
        <f>'[43]6. Physical Assets'!D61</f>
        <v>2700.75</v>
      </c>
      <c r="D35" s="45">
        <f>'[43]6. Physical Assets'!E61</f>
        <v>2738.75</v>
      </c>
      <c r="E35" s="45">
        <f>'[43]6. Physical Assets'!F61</f>
        <v>2816.75</v>
      </c>
      <c r="F35" s="45">
        <f>'[43]6. Physical Assets'!G61</f>
        <v>2965.25</v>
      </c>
      <c r="G35" s="45">
        <f>'[43]6. Physical Assets'!H61</f>
        <v>3130.25</v>
      </c>
      <c r="H35" s="45">
        <f>'[43]6. Physical Assets'!I61</f>
        <v>3163.25</v>
      </c>
      <c r="I35" s="45">
        <f>'[43]6. Physical Assets'!J61</f>
        <v>3249.25</v>
      </c>
      <c r="J35" s="45">
        <f>'[43]6. Physical Assets'!K61</f>
        <v>3334.75</v>
      </c>
      <c r="K35" s="45">
        <f>'[44]3.5 Physical assets'!E86</f>
        <v>3214</v>
      </c>
      <c r="L35" s="45">
        <f>'[45]3.5 Physical assets'!E86</f>
        <v>3445.5</v>
      </c>
      <c r="M35" s="45">
        <f>'[46]3.5 Physical assets'!C86</f>
        <v>3488.5</v>
      </c>
    </row>
    <row r="36" spans="1:35">
      <c r="A36" s="17" t="s">
        <v>54</v>
      </c>
      <c r="B36" s="17" t="s">
        <v>100</v>
      </c>
      <c r="C36" s="45">
        <f>'[47]6. Physical Assets'!D65</f>
        <v>495</v>
      </c>
      <c r="D36" s="45">
        <f>'[47]6. Physical Assets'!E65</f>
        <v>495</v>
      </c>
      <c r="E36" s="45">
        <f>'[47]6. Physical Assets'!F65</f>
        <v>535</v>
      </c>
      <c r="F36" s="45">
        <f>'[47]6. Physical Assets'!G65</f>
        <v>575</v>
      </c>
      <c r="G36" s="45">
        <f>'[47]6. Physical Assets'!H65</f>
        <v>575</v>
      </c>
      <c r="H36" s="45">
        <f>'[47]6. Physical Assets'!I65</f>
        <v>675</v>
      </c>
      <c r="I36" s="45">
        <f>'[47]6. Physical Assets'!J65</f>
        <v>675</v>
      </c>
      <c r="J36" s="45">
        <f>'[47]6. Physical Assets'!K65</f>
        <v>675</v>
      </c>
      <c r="K36" s="45">
        <f>'[48]3.5 Physical assets'!E86</f>
        <v>675</v>
      </c>
      <c r="L36" s="45">
        <f>'[49]3.5 Physical assets'!E86</f>
        <v>675</v>
      </c>
      <c r="M36" s="45">
        <f>'[50]3.5 Physical assets'!C86</f>
        <v>675</v>
      </c>
    </row>
    <row r="37" spans="1:35">
      <c r="A37" s="17" t="s">
        <v>9</v>
      </c>
      <c r="B37" s="17" t="s">
        <v>100</v>
      </c>
      <c r="C37" s="45">
        <f>'[51]6. Physical Assets'!D59</f>
        <v>2752</v>
      </c>
      <c r="D37" s="45">
        <f>'[51]6. Physical Assets'!E59</f>
        <v>2842</v>
      </c>
      <c r="E37" s="45">
        <f>'[51]6. Physical Assets'!F59</f>
        <v>2923</v>
      </c>
      <c r="F37" s="45">
        <f>'[51]6. Physical Assets'!G59</f>
        <v>2963</v>
      </c>
      <c r="G37" s="45">
        <f>'[51]6. Physical Assets'!H59</f>
        <v>2998</v>
      </c>
      <c r="H37" s="45">
        <f>'[51]6. Physical Assets'!I59</f>
        <v>3062</v>
      </c>
      <c r="I37" s="45">
        <f>'[51]6. Physical Assets'!J59</f>
        <v>3125</v>
      </c>
      <c r="J37" s="45">
        <f>'[51]6. Physical Assets'!K59</f>
        <v>3258</v>
      </c>
      <c r="K37" s="45">
        <f>'[52]3.5 Physical assets'!E86</f>
        <v>3357</v>
      </c>
      <c r="L37" s="45">
        <f>'[53]3.5 Physical assets'!E86</f>
        <v>3357</v>
      </c>
      <c r="M37" s="45">
        <f>'[54]3.5 Physical assets'!C86</f>
        <v>3319.5</v>
      </c>
    </row>
    <row r="39" spans="1:35" s="2" customFormat="1">
      <c r="A39" s="23" t="s">
        <v>149</v>
      </c>
    </row>
    <row r="41" spans="1:35">
      <c r="A41" s="2"/>
      <c r="B41" s="2"/>
      <c r="C41" s="2">
        <v>2006</v>
      </c>
      <c r="D41" s="2">
        <v>2007</v>
      </c>
      <c r="E41" s="2">
        <v>2008</v>
      </c>
      <c r="F41" s="2">
        <v>2009</v>
      </c>
      <c r="G41" s="2">
        <v>2010</v>
      </c>
      <c r="H41" s="2">
        <v>2011</v>
      </c>
      <c r="I41" s="2">
        <v>2012</v>
      </c>
      <c r="J41" s="2">
        <v>2013</v>
      </c>
      <c r="K41" s="2">
        <v>2014</v>
      </c>
      <c r="L41" s="2">
        <v>2015</v>
      </c>
      <c r="M41" s="2">
        <v>2016</v>
      </c>
      <c r="O41" s="2"/>
      <c r="P41" s="2"/>
      <c r="AD41" s="2"/>
      <c r="AE41" s="2"/>
      <c r="AF41" s="2"/>
      <c r="AG41" s="2"/>
      <c r="AH41" s="2"/>
      <c r="AI41" s="2"/>
    </row>
    <row r="42" spans="1:35">
      <c r="A42" s="17" t="s">
        <v>1</v>
      </c>
      <c r="B42" s="17" t="s">
        <v>148</v>
      </c>
      <c r="C42" s="99">
        <f>C8/C25*100</f>
        <v>0</v>
      </c>
      <c r="D42" s="99">
        <f t="shared" ref="D42:L42" si="0">D8/D25*100</f>
        <v>0</v>
      </c>
      <c r="E42" s="99">
        <f t="shared" si="0"/>
        <v>0</v>
      </c>
      <c r="F42" s="99">
        <f t="shared" si="0"/>
        <v>0</v>
      </c>
      <c r="G42" s="99">
        <f t="shared" si="0"/>
        <v>0</v>
      </c>
      <c r="H42" s="99">
        <f t="shared" si="0"/>
        <v>0</v>
      </c>
      <c r="I42" s="99">
        <f t="shared" si="0"/>
        <v>0</v>
      </c>
      <c r="J42" s="99">
        <f t="shared" si="0"/>
        <v>0</v>
      </c>
      <c r="K42" s="99">
        <f t="shared" si="0"/>
        <v>0</v>
      </c>
      <c r="L42" s="99">
        <f t="shared" si="0"/>
        <v>0</v>
      </c>
      <c r="M42" s="99">
        <f t="shared" ref="M42" si="1">M8/M25*100</f>
        <v>0</v>
      </c>
      <c r="AD42" s="98"/>
      <c r="AE42" s="98"/>
      <c r="AF42" s="98"/>
      <c r="AG42" s="98"/>
      <c r="AH42" s="98"/>
      <c r="AI42" s="98"/>
    </row>
    <row r="43" spans="1:35">
      <c r="A43" s="97" t="s">
        <v>78</v>
      </c>
      <c r="B43" s="97" t="s">
        <v>148</v>
      </c>
      <c r="C43" s="102">
        <f t="shared" ref="C43:L43" si="2">C9/C26*100</f>
        <v>38.993255639680612</v>
      </c>
      <c r="D43" s="102">
        <f t="shared" si="2"/>
        <v>38.103626160698553</v>
      </c>
      <c r="E43" s="102">
        <f t="shared" si="2"/>
        <v>37.192793498482324</v>
      </c>
      <c r="F43" s="102">
        <f t="shared" si="2"/>
        <v>35.417102237089694</v>
      </c>
      <c r="G43" s="102">
        <f t="shared" si="2"/>
        <v>33.812218194677747</v>
      </c>
      <c r="H43" s="102">
        <f t="shared" si="2"/>
        <v>33.826204181199579</v>
      </c>
      <c r="I43" s="102">
        <f t="shared" si="2"/>
        <v>32.066686068265916</v>
      </c>
      <c r="J43" s="102">
        <f t="shared" si="2"/>
        <v>30.998796630565582</v>
      </c>
      <c r="K43" s="102">
        <f t="shared" si="2"/>
        <v>30.753635619322388</v>
      </c>
      <c r="L43" s="102">
        <f t="shared" si="2"/>
        <v>30.27431037139775</v>
      </c>
      <c r="M43" s="102">
        <f t="shared" ref="M43" si="3">M9/M26*100</f>
        <v>30.038819875776397</v>
      </c>
      <c r="AD43" s="98"/>
      <c r="AE43" s="98"/>
      <c r="AF43" s="98"/>
      <c r="AG43" s="98"/>
      <c r="AH43" s="98"/>
      <c r="AI43" s="98"/>
    </row>
    <row r="44" spans="1:35">
      <c r="A44" s="17" t="s">
        <v>2</v>
      </c>
      <c r="B44" s="17" t="s">
        <v>148</v>
      </c>
      <c r="C44" s="99">
        <f t="shared" ref="C44:L44" si="4">C10/C27*100</f>
        <v>0</v>
      </c>
      <c r="D44" s="99">
        <f t="shared" si="4"/>
        <v>0</v>
      </c>
      <c r="E44" s="99">
        <f t="shared" si="4"/>
        <v>0</v>
      </c>
      <c r="F44" s="99">
        <f t="shared" si="4"/>
        <v>0</v>
      </c>
      <c r="G44" s="99">
        <f t="shared" si="4"/>
        <v>0</v>
      </c>
      <c r="H44" s="99">
        <f t="shared" si="4"/>
        <v>0</v>
      </c>
      <c r="I44" s="99">
        <f t="shared" si="4"/>
        <v>0</v>
      </c>
      <c r="J44" s="99">
        <f t="shared" si="4"/>
        <v>0</v>
      </c>
      <c r="K44" s="99">
        <f t="shared" si="4"/>
        <v>0</v>
      </c>
      <c r="L44" s="99">
        <f t="shared" si="4"/>
        <v>0</v>
      </c>
      <c r="M44" s="99">
        <f t="shared" ref="M44" si="5">M10/M27*100</f>
        <v>0</v>
      </c>
      <c r="AD44" s="98"/>
      <c r="AE44" s="98"/>
      <c r="AF44" s="98"/>
      <c r="AG44" s="98"/>
      <c r="AH44" s="98"/>
      <c r="AI44" s="98"/>
    </row>
    <row r="45" spans="1:35">
      <c r="A45" s="97" t="s">
        <v>3</v>
      </c>
      <c r="B45" s="97" t="s">
        <v>148</v>
      </c>
      <c r="C45" s="102">
        <f t="shared" ref="C45:L45" si="6">C11/C28*100</f>
        <v>41.169471358150602</v>
      </c>
      <c r="D45" s="102">
        <f t="shared" si="6"/>
        <v>41.678343453215014</v>
      </c>
      <c r="E45" s="102">
        <f t="shared" si="6"/>
        <v>41.840244962764153</v>
      </c>
      <c r="F45" s="102">
        <f t="shared" si="6"/>
        <v>41.975172413793103</v>
      </c>
      <c r="G45" s="102">
        <f t="shared" si="6"/>
        <v>41.725518100151206</v>
      </c>
      <c r="H45" s="102">
        <f t="shared" si="6"/>
        <v>41.678808770745228</v>
      </c>
      <c r="I45" s="102">
        <f t="shared" si="6"/>
        <v>41.905808046134837</v>
      </c>
      <c r="J45" s="102">
        <f t="shared" si="6"/>
        <v>40.367700548905496</v>
      </c>
      <c r="K45" s="102">
        <f t="shared" si="6"/>
        <v>36.082977822646299</v>
      </c>
      <c r="L45" s="102">
        <f t="shared" si="6"/>
        <v>35.863521205540749</v>
      </c>
      <c r="M45" s="102">
        <f t="shared" ref="M45" si="7">M11/M28*100</f>
        <v>35.642652812941833</v>
      </c>
      <c r="AD45" s="98"/>
      <c r="AE45" s="98"/>
      <c r="AF45" s="98"/>
      <c r="AG45" s="98"/>
      <c r="AH45" s="98"/>
      <c r="AI45" s="98"/>
    </row>
    <row r="46" spans="1:35">
      <c r="A46" s="97" t="s">
        <v>4</v>
      </c>
      <c r="B46" s="97" t="s">
        <v>148</v>
      </c>
      <c r="C46" s="102">
        <f t="shared" ref="C46:L46" si="8">C12/C29*100</f>
        <v>38.893746342394302</v>
      </c>
      <c r="D46" s="102">
        <f t="shared" si="8"/>
        <v>39.83308631621383</v>
      </c>
      <c r="E46" s="102">
        <f t="shared" si="8"/>
        <v>40.255612340393263</v>
      </c>
      <c r="F46" s="102">
        <f t="shared" si="8"/>
        <v>39.681401309430626</v>
      </c>
      <c r="G46" s="102">
        <f t="shared" si="8"/>
        <v>39.60718691808821</v>
      </c>
      <c r="H46" s="102">
        <f t="shared" si="8"/>
        <v>40.043934878592779</v>
      </c>
      <c r="I46" s="102">
        <f t="shared" si="8"/>
        <v>40.24852532238414</v>
      </c>
      <c r="J46" s="102">
        <f t="shared" si="8"/>
        <v>39.673367831357048</v>
      </c>
      <c r="K46" s="102">
        <f t="shared" si="8"/>
        <v>39.971271223507898</v>
      </c>
      <c r="L46" s="102">
        <f t="shared" si="8"/>
        <v>38.376294064936793</v>
      </c>
      <c r="M46" s="102">
        <f t="shared" ref="M46" si="9">M12/M29*100</f>
        <v>38.753968663712833</v>
      </c>
      <c r="AD46" s="98"/>
      <c r="AE46" s="98"/>
      <c r="AF46" s="98"/>
      <c r="AG46" s="98"/>
      <c r="AH46" s="98"/>
      <c r="AI46" s="98"/>
    </row>
    <row r="47" spans="1:35">
      <c r="A47" s="97" t="s">
        <v>10</v>
      </c>
      <c r="B47" s="97" t="s">
        <v>148</v>
      </c>
      <c r="C47" s="102">
        <f t="shared" ref="C47:L47" si="10">C13/C30*100</f>
        <v>36.96918069631883</v>
      </c>
      <c r="D47" s="102">
        <f t="shared" si="10"/>
        <v>37.200820246321705</v>
      </c>
      <c r="E47" s="102">
        <f t="shared" si="10"/>
        <v>37.211235588768687</v>
      </c>
      <c r="F47" s="102">
        <f t="shared" si="10"/>
        <v>36.867647428982259</v>
      </c>
      <c r="G47" s="102">
        <f t="shared" si="10"/>
        <v>34.795966741222813</v>
      </c>
      <c r="H47" s="102">
        <f t="shared" si="10"/>
        <v>35.211891535055898</v>
      </c>
      <c r="I47" s="102">
        <f t="shared" si="10"/>
        <v>35.801529894577214</v>
      </c>
      <c r="J47" s="102">
        <f t="shared" si="10"/>
        <v>36.786616195787893</v>
      </c>
      <c r="K47" s="102">
        <f t="shared" si="10"/>
        <v>34.591259912360833</v>
      </c>
      <c r="L47" s="102">
        <f t="shared" si="10"/>
        <v>35.389785133409433</v>
      </c>
      <c r="M47" s="102">
        <f t="shared" ref="M47" si="11">M13/M30*100</f>
        <v>34.399732757734611</v>
      </c>
      <c r="AD47" s="98"/>
      <c r="AE47" s="98"/>
      <c r="AF47" s="98"/>
      <c r="AG47" s="98"/>
      <c r="AH47" s="98"/>
      <c r="AI47" s="98"/>
    </row>
    <row r="48" spans="1:35">
      <c r="A48" s="97" t="s">
        <v>5</v>
      </c>
      <c r="B48" s="97" t="s">
        <v>148</v>
      </c>
      <c r="C48" s="102">
        <f t="shared" ref="C48:L48" si="12">C14/C31*100</f>
        <v>19.083236843897637</v>
      </c>
      <c r="D48" s="102">
        <f t="shared" si="12"/>
        <v>18.902602095104783</v>
      </c>
      <c r="E48" s="102">
        <f t="shared" si="12"/>
        <v>19.434432606659151</v>
      </c>
      <c r="F48" s="102">
        <f t="shared" si="12"/>
        <v>19.090894911694214</v>
      </c>
      <c r="G48" s="102">
        <f t="shared" si="12"/>
        <v>18.276826335868517</v>
      </c>
      <c r="H48" s="102">
        <f t="shared" si="12"/>
        <v>18.770266602543654</v>
      </c>
      <c r="I48" s="102">
        <f t="shared" si="12"/>
        <v>18.448092268119652</v>
      </c>
      <c r="J48" s="102">
        <f t="shared" si="12"/>
        <v>18.556164145763194</v>
      </c>
      <c r="K48" s="102">
        <f t="shared" si="12"/>
        <v>19.053984764137123</v>
      </c>
      <c r="L48" s="102">
        <f t="shared" si="12"/>
        <v>18.863248090217844</v>
      </c>
      <c r="M48" s="102">
        <f t="shared" ref="M48" si="13">M14/M31*100</f>
        <v>18.575851393188852</v>
      </c>
      <c r="AD48" s="98"/>
      <c r="AE48" s="98"/>
      <c r="AF48" s="98"/>
      <c r="AG48" s="98"/>
      <c r="AH48" s="98"/>
      <c r="AI48" s="98"/>
    </row>
    <row r="49" spans="1:50">
      <c r="A49" s="17" t="s">
        <v>6</v>
      </c>
      <c r="B49" s="17" t="s">
        <v>148</v>
      </c>
      <c r="C49" s="99">
        <f t="shared" ref="C49:L49" si="14">C15/C32*100</f>
        <v>0</v>
      </c>
      <c r="D49" s="99">
        <f t="shared" si="14"/>
        <v>0</v>
      </c>
      <c r="E49" s="99">
        <f t="shared" si="14"/>
        <v>0</v>
      </c>
      <c r="F49" s="99">
        <f t="shared" si="14"/>
        <v>0</v>
      </c>
      <c r="G49" s="99">
        <f t="shared" si="14"/>
        <v>0</v>
      </c>
      <c r="H49" s="99">
        <f t="shared" si="14"/>
        <v>0</v>
      </c>
      <c r="I49" s="99">
        <f t="shared" si="14"/>
        <v>0</v>
      </c>
      <c r="J49" s="99">
        <f t="shared" si="14"/>
        <v>0</v>
      </c>
      <c r="K49" s="99">
        <f t="shared" si="14"/>
        <v>0</v>
      </c>
      <c r="L49" s="99">
        <f t="shared" si="14"/>
        <v>0</v>
      </c>
      <c r="M49" s="99">
        <f t="shared" ref="M49" si="15">M15/M32*100</f>
        <v>0</v>
      </c>
      <c r="AD49" s="98"/>
      <c r="AE49" s="98"/>
      <c r="AF49" s="98"/>
      <c r="AG49" s="98"/>
      <c r="AH49" s="98"/>
      <c r="AI49" s="98"/>
    </row>
    <row r="50" spans="1:50">
      <c r="A50" s="17" t="s">
        <v>7</v>
      </c>
      <c r="B50" s="17" t="s">
        <v>148</v>
      </c>
      <c r="C50" s="99">
        <f t="shared" ref="C50:L50" si="16">C16/C33*100</f>
        <v>0</v>
      </c>
      <c r="D50" s="99">
        <f t="shared" si="16"/>
        <v>0</v>
      </c>
      <c r="E50" s="99">
        <f t="shared" si="16"/>
        <v>0</v>
      </c>
      <c r="F50" s="99">
        <f t="shared" si="16"/>
        <v>0</v>
      </c>
      <c r="G50" s="99">
        <f t="shared" si="16"/>
        <v>0</v>
      </c>
      <c r="H50" s="99">
        <f t="shared" si="16"/>
        <v>0</v>
      </c>
      <c r="I50" s="99">
        <f t="shared" si="16"/>
        <v>0</v>
      </c>
      <c r="J50" s="99">
        <f t="shared" si="16"/>
        <v>0</v>
      </c>
      <c r="K50" s="99">
        <f t="shared" si="16"/>
        <v>0</v>
      </c>
      <c r="L50" s="99">
        <f t="shared" si="16"/>
        <v>0</v>
      </c>
      <c r="M50" s="99">
        <f t="shared" ref="M50" si="17">M16/M33*100</f>
        <v>0</v>
      </c>
      <c r="AD50" s="98"/>
      <c r="AE50" s="98"/>
      <c r="AF50" s="98"/>
      <c r="AG50" s="98"/>
      <c r="AH50" s="98"/>
      <c r="AI50" s="98"/>
    </row>
    <row r="51" spans="1:50">
      <c r="A51" s="97" t="s">
        <v>8</v>
      </c>
      <c r="B51" s="97" t="s">
        <v>148</v>
      </c>
      <c r="C51" s="102">
        <f t="shared" ref="C51:L51" si="18">C17/C34*100</f>
        <v>6.857657276000845</v>
      </c>
      <c r="D51" s="102">
        <f t="shared" si="18"/>
        <v>6.612822236784992</v>
      </c>
      <c r="E51" s="102">
        <f t="shared" si="18"/>
        <v>6.6439288107730814</v>
      </c>
      <c r="F51" s="102">
        <f t="shared" si="18"/>
        <v>6.8136534175507508</v>
      </c>
      <c r="G51" s="102">
        <f t="shared" si="18"/>
        <v>6.8044654427274436</v>
      </c>
      <c r="H51" s="102">
        <f t="shared" si="18"/>
        <v>6.8294617497652528</v>
      </c>
      <c r="I51" s="102">
        <f t="shared" si="18"/>
        <v>6.5100281860315121</v>
      </c>
      <c r="J51" s="102">
        <f t="shared" si="18"/>
        <v>6.3186976252273039</v>
      </c>
      <c r="K51" s="102">
        <f t="shared" si="18"/>
        <v>5.7315201974131691</v>
      </c>
      <c r="L51" s="102">
        <f t="shared" si="18"/>
        <v>5.2297412658891798</v>
      </c>
      <c r="M51" s="102">
        <f t="shared" ref="M51" si="19">M17/M34*100</f>
        <v>5.2467487727155291</v>
      </c>
      <c r="AD51" s="98"/>
      <c r="AE51" s="98"/>
      <c r="AF51" s="98"/>
      <c r="AG51" s="98"/>
      <c r="AH51" s="98"/>
      <c r="AI51" s="98"/>
    </row>
    <row r="52" spans="1:50">
      <c r="A52" s="17" t="s">
        <v>73</v>
      </c>
      <c r="B52" s="17" t="s">
        <v>148</v>
      </c>
      <c r="C52" s="99">
        <f t="shared" ref="C52:L52" si="20">C18/C35*100</f>
        <v>0</v>
      </c>
      <c r="D52" s="99">
        <f t="shared" si="20"/>
        <v>0</v>
      </c>
      <c r="E52" s="99">
        <f t="shared" si="20"/>
        <v>0</v>
      </c>
      <c r="F52" s="99">
        <f t="shared" si="20"/>
        <v>0</v>
      </c>
      <c r="G52" s="99">
        <f t="shared" si="20"/>
        <v>0</v>
      </c>
      <c r="H52" s="99">
        <f t="shared" si="20"/>
        <v>0</v>
      </c>
      <c r="I52" s="99">
        <f t="shared" si="20"/>
        <v>0</v>
      </c>
      <c r="J52" s="99">
        <f t="shared" si="20"/>
        <v>0</v>
      </c>
      <c r="K52" s="99">
        <f t="shared" si="20"/>
        <v>0</v>
      </c>
      <c r="L52" s="99">
        <f t="shared" si="20"/>
        <v>0</v>
      </c>
      <c r="M52" s="99">
        <f t="shared" ref="M52" si="21">M18/M35*100</f>
        <v>0</v>
      </c>
      <c r="AD52" s="98"/>
      <c r="AE52" s="98"/>
      <c r="AF52" s="98"/>
      <c r="AG52" s="98"/>
      <c r="AH52" s="98"/>
      <c r="AI52" s="98"/>
    </row>
    <row r="53" spans="1:50">
      <c r="A53" s="17" t="s">
        <v>54</v>
      </c>
      <c r="B53" s="17" t="s">
        <v>148</v>
      </c>
      <c r="C53" s="99">
        <f t="shared" ref="C53:L53" si="22">C19/C36*100</f>
        <v>0</v>
      </c>
      <c r="D53" s="99">
        <f t="shared" si="22"/>
        <v>0</v>
      </c>
      <c r="E53" s="99">
        <f t="shared" si="22"/>
        <v>0</v>
      </c>
      <c r="F53" s="99">
        <f t="shared" si="22"/>
        <v>0</v>
      </c>
      <c r="G53" s="99">
        <f t="shared" si="22"/>
        <v>0</v>
      </c>
      <c r="H53" s="99">
        <f t="shared" si="22"/>
        <v>0</v>
      </c>
      <c r="I53" s="99">
        <f t="shared" si="22"/>
        <v>0</v>
      </c>
      <c r="J53" s="99">
        <f t="shared" si="22"/>
        <v>0</v>
      </c>
      <c r="K53" s="99">
        <f t="shared" si="22"/>
        <v>0</v>
      </c>
      <c r="L53" s="99">
        <f t="shared" si="22"/>
        <v>0</v>
      </c>
      <c r="M53" s="99">
        <f t="shared" ref="M53" si="23">M19/M36*100</f>
        <v>0</v>
      </c>
      <c r="AD53" s="98"/>
      <c r="AE53" s="98"/>
      <c r="AF53" s="98"/>
      <c r="AG53" s="98"/>
      <c r="AH53" s="98"/>
      <c r="AI53" s="98"/>
    </row>
    <row r="54" spans="1:50">
      <c r="A54" s="17" t="s">
        <v>9</v>
      </c>
      <c r="B54" s="17" t="s">
        <v>148</v>
      </c>
      <c r="C54" s="99">
        <f t="shared" ref="C54:L54" si="24">C20/C37*100</f>
        <v>0</v>
      </c>
      <c r="D54" s="99">
        <f t="shared" si="24"/>
        <v>0</v>
      </c>
      <c r="E54" s="99">
        <f t="shared" si="24"/>
        <v>0</v>
      </c>
      <c r="F54" s="99">
        <f t="shared" si="24"/>
        <v>0</v>
      </c>
      <c r="G54" s="99">
        <f t="shared" si="24"/>
        <v>0</v>
      </c>
      <c r="H54" s="99">
        <f t="shared" si="24"/>
        <v>0</v>
      </c>
      <c r="I54" s="99">
        <f t="shared" si="24"/>
        <v>0</v>
      </c>
      <c r="J54" s="99">
        <f t="shared" si="24"/>
        <v>0</v>
      </c>
      <c r="K54" s="99">
        <f t="shared" si="24"/>
        <v>0</v>
      </c>
      <c r="L54" s="99">
        <f t="shared" si="24"/>
        <v>0</v>
      </c>
      <c r="M54" s="99">
        <f t="shared" ref="M54" si="25">M20/M37*100</f>
        <v>0</v>
      </c>
      <c r="AD54" s="98"/>
      <c r="AE54" s="98"/>
      <c r="AF54" s="98"/>
      <c r="AG54" s="98"/>
      <c r="AH54" s="98"/>
      <c r="AI54" s="98"/>
    </row>
    <row r="55" spans="1:50">
      <c r="AD55" s="98"/>
      <c r="AE55" s="98"/>
      <c r="AF55" s="98"/>
      <c r="AG55" s="98"/>
      <c r="AH55" s="98"/>
      <c r="AI55" s="98"/>
    </row>
    <row r="56" spans="1:50">
      <c r="A56" s="41" t="s">
        <v>150</v>
      </c>
      <c r="B56" s="2"/>
      <c r="C56" s="2"/>
      <c r="D56" s="2"/>
      <c r="E56" s="2"/>
      <c r="F56" s="2"/>
      <c r="G56" s="2"/>
      <c r="H56" s="2"/>
      <c r="I56" s="2"/>
      <c r="J56" s="2"/>
      <c r="K56" s="2"/>
      <c r="L56" s="30"/>
      <c r="M56" s="30"/>
      <c r="Q56" s="41" t="s">
        <v>153</v>
      </c>
      <c r="R56" s="2"/>
      <c r="S56" s="2"/>
      <c r="T56" s="2"/>
      <c r="U56" s="2"/>
      <c r="V56" s="2"/>
      <c r="W56" s="2"/>
      <c r="X56" s="2"/>
      <c r="Y56" s="2"/>
      <c r="Z56" s="2"/>
      <c r="AA56" s="2"/>
      <c r="AB56" s="30"/>
      <c r="AC56" s="2"/>
    </row>
    <row r="57" spans="1:50">
      <c r="A57" s="85" t="s">
        <v>99</v>
      </c>
      <c r="B57" s="2"/>
      <c r="C57" s="2"/>
      <c r="D57" s="2"/>
      <c r="E57" s="2"/>
      <c r="F57" s="2"/>
      <c r="G57" s="2"/>
      <c r="H57" s="2"/>
      <c r="I57" s="2"/>
      <c r="J57" s="2"/>
      <c r="K57" s="2"/>
      <c r="L57" s="2"/>
      <c r="Q57" s="85" t="s">
        <v>99</v>
      </c>
      <c r="R57" s="2"/>
      <c r="S57" s="2"/>
      <c r="T57" s="2"/>
      <c r="U57" s="2"/>
      <c r="V57" s="2"/>
      <c r="W57" s="2"/>
      <c r="X57" s="2"/>
      <c r="Y57" s="2"/>
      <c r="Z57" s="2"/>
      <c r="AA57" s="2"/>
      <c r="AB57" s="2"/>
      <c r="AC57" s="2"/>
    </row>
    <row r="58" spans="1:50">
      <c r="A58" s="2"/>
      <c r="B58" s="2"/>
      <c r="C58" s="2">
        <v>2006</v>
      </c>
      <c r="D58" s="2">
        <v>2007</v>
      </c>
      <c r="E58" s="2">
        <v>2008</v>
      </c>
      <c r="F58" s="2">
        <v>2009</v>
      </c>
      <c r="G58" s="2">
        <v>2010</v>
      </c>
      <c r="H58" s="2">
        <v>2011</v>
      </c>
      <c r="I58" s="2">
        <v>2012</v>
      </c>
      <c r="J58" s="2">
        <v>2013</v>
      </c>
      <c r="K58" s="2">
        <v>2014</v>
      </c>
      <c r="L58" s="2">
        <v>2015</v>
      </c>
      <c r="M58" s="2">
        <v>2016</v>
      </c>
      <c r="Q58" s="2"/>
      <c r="R58" s="2"/>
      <c r="S58" s="2">
        <v>2006</v>
      </c>
      <c r="T58" s="2">
        <v>2007</v>
      </c>
      <c r="U58" s="2">
        <v>2008</v>
      </c>
      <c r="V58" s="2">
        <v>2009</v>
      </c>
      <c r="W58" s="2">
        <v>2010</v>
      </c>
      <c r="X58" s="2">
        <v>2011</v>
      </c>
      <c r="Y58" s="2">
        <v>2012</v>
      </c>
      <c r="Z58" s="2">
        <v>2013</v>
      </c>
      <c r="AA58" s="2">
        <v>2014</v>
      </c>
      <c r="AB58" s="2">
        <v>2015</v>
      </c>
      <c r="AC58" s="2">
        <v>2016</v>
      </c>
      <c r="AD58" s="2"/>
      <c r="AE58" s="2"/>
      <c r="AF58" s="2"/>
      <c r="AG58" s="2"/>
      <c r="AH58" s="2"/>
      <c r="AI58" s="2"/>
      <c r="AJ58" s="2"/>
      <c r="AK58" s="2"/>
      <c r="AL58" s="2"/>
      <c r="AM58" s="2"/>
      <c r="AO58" s="2"/>
      <c r="AP58" s="2"/>
      <c r="AQ58" s="2"/>
      <c r="AR58" s="2"/>
      <c r="AS58" s="2"/>
      <c r="AT58" s="2"/>
      <c r="AU58" s="2"/>
      <c r="AV58" s="2"/>
      <c r="AW58" s="2"/>
      <c r="AX58" s="2"/>
    </row>
    <row r="59" spans="1:50">
      <c r="A59" s="17" t="s">
        <v>1</v>
      </c>
      <c r="B59" s="17" t="s">
        <v>30</v>
      </c>
      <c r="C59" s="45"/>
      <c r="D59" s="45"/>
      <c r="E59" s="45"/>
      <c r="F59" s="45"/>
      <c r="G59" s="45"/>
      <c r="H59" s="45"/>
      <c r="I59" s="45"/>
      <c r="J59" s="45"/>
      <c r="K59" s="45"/>
      <c r="L59" s="45"/>
      <c r="M59" s="45"/>
      <c r="Q59" s="17" t="s">
        <v>1</v>
      </c>
      <c r="R59" s="17" t="s">
        <v>30</v>
      </c>
      <c r="S59" s="45"/>
      <c r="T59" s="45"/>
      <c r="U59" s="45"/>
      <c r="V59" s="45"/>
      <c r="W59" s="45"/>
      <c r="X59" s="45"/>
      <c r="Y59" s="45"/>
      <c r="Z59" s="45"/>
      <c r="AA59" s="45"/>
      <c r="AB59" s="45"/>
      <c r="AC59" s="45"/>
      <c r="AO59" s="24"/>
      <c r="AP59" s="24"/>
      <c r="AQ59" s="24"/>
      <c r="AR59" s="24"/>
      <c r="AS59" s="24"/>
      <c r="AT59" s="24"/>
      <c r="AU59" s="24"/>
      <c r="AV59" s="24"/>
      <c r="AW59" s="24"/>
      <c r="AX59" s="24"/>
    </row>
    <row r="60" spans="1:50">
      <c r="A60" s="17" t="s">
        <v>78</v>
      </c>
      <c r="B60" s="17" t="s">
        <v>30</v>
      </c>
      <c r="C60" s="45">
        <f>('[7]4. Assets (RAB)'!D$58+'[7]4. Assets (RAB)'!D$64)/2</f>
        <v>1296390.973</v>
      </c>
      <c r="D60" s="45">
        <f>('[7]4. Assets (RAB)'!E$58+'[7]4. Assets (RAB)'!E$64)/2</f>
        <v>1452766.9649999999</v>
      </c>
      <c r="E60" s="45">
        <f>('[7]4. Assets (RAB)'!F$58+'[7]4. Assets (RAB)'!F$64)/2</f>
        <v>1661340.5520000001</v>
      </c>
      <c r="F60" s="45">
        <f>('[7]4. Assets (RAB)'!G$58+'[7]4. Assets (RAB)'!G$64)/2</f>
        <v>1949125.8844999999</v>
      </c>
      <c r="G60" s="45">
        <f>('[7]4. Assets (RAB)'!H$58+'[7]4. Assets (RAB)'!H$64)/2</f>
        <v>2289245.9005000005</v>
      </c>
      <c r="H60" s="45">
        <f>('[7]4. Assets (RAB)'!I$58+'[7]4. Assets (RAB)'!I$64)/2</f>
        <v>2597157.1114999996</v>
      </c>
      <c r="I60" s="45">
        <f>('[7]4. Assets (RAB)'!J$58+'[7]4. Assets (RAB)'!J$64)/2</f>
        <v>2922562.3884999999</v>
      </c>
      <c r="J60" s="45">
        <f>('[7]4. Assets (RAB)'!K$58+'[7]4. Assets (RAB)'!K$64)/2</f>
        <v>3203386.9110000003</v>
      </c>
      <c r="K60" s="45">
        <f>('[8]3.3 Assets (RAB)'!$E$63+'[8]3.3 Assets (RAB)'!$E$69)/2</f>
        <v>3411020.9377134731</v>
      </c>
      <c r="L60" s="45">
        <f>('[9]3.3 Assets (RAB)'!$E$63+'[9]3.3 Assets (RAB)'!$E$69)/2</f>
        <v>3503035.1504996847</v>
      </c>
      <c r="M60" s="45">
        <f>('[10]3.3 Assets (RAB)'!$C$61+'[10]3.3 Assets (RAB)'!$C$66)/2/1000</f>
        <v>3533442.3246574295</v>
      </c>
      <c r="Q60" s="17" t="s">
        <v>78</v>
      </c>
      <c r="R60" s="17" t="s">
        <v>30</v>
      </c>
      <c r="S60" s="45">
        <f>(C$43/100)*C60</f>
        <v>505505.04619163286</v>
      </c>
      <c r="T60" s="45">
        <f t="shared" ref="T60:AC60" si="26">(D$43/100)*D60</f>
        <v>553556.89332972642</v>
      </c>
      <c r="U60" s="45">
        <f t="shared" si="26"/>
        <v>617898.96081190638</v>
      </c>
      <c r="V60" s="45">
        <f t="shared" si="26"/>
        <v>690323.90724294377</v>
      </c>
      <c r="W60" s="45">
        <f t="shared" si="26"/>
        <v>774044.81888977555</v>
      </c>
      <c r="X60" s="45">
        <f t="shared" si="26"/>
        <v>878519.66744253505</v>
      </c>
      <c r="Y60" s="45">
        <f t="shared" si="26"/>
        <v>937168.906269509</v>
      </c>
      <c r="Z60" s="45">
        <f t="shared" si="26"/>
        <v>993011.393831047</v>
      </c>
      <c r="AA60" s="45">
        <f t="shared" si="26"/>
        <v>1049012.9500831952</v>
      </c>
      <c r="AB60" s="45">
        <f t="shared" si="26"/>
        <v>1060519.7338814349</v>
      </c>
      <c r="AC60" s="45">
        <f t="shared" si="26"/>
        <v>1061404.3753182914</v>
      </c>
      <c r="AO60" s="24"/>
      <c r="AP60" s="24"/>
      <c r="AQ60" s="24"/>
      <c r="AR60" s="24"/>
      <c r="AS60" s="24"/>
      <c r="AT60" s="24"/>
      <c r="AU60" s="24"/>
      <c r="AV60" s="24"/>
      <c r="AW60" s="24"/>
      <c r="AX60" s="24"/>
    </row>
    <row r="61" spans="1:50">
      <c r="A61" s="17" t="s">
        <v>2</v>
      </c>
      <c r="B61" s="17" t="s">
        <v>30</v>
      </c>
      <c r="C61" s="45"/>
      <c r="D61" s="45"/>
      <c r="E61" s="45"/>
      <c r="F61" s="45"/>
      <c r="G61" s="45"/>
      <c r="H61" s="45"/>
      <c r="I61" s="45"/>
      <c r="J61" s="45"/>
      <c r="K61" s="45"/>
      <c r="L61" s="45"/>
      <c r="M61" s="45"/>
      <c r="Q61" s="17" t="s">
        <v>2</v>
      </c>
      <c r="R61" s="17" t="s">
        <v>30</v>
      </c>
      <c r="S61" s="45"/>
      <c r="T61" s="45"/>
      <c r="U61" s="45"/>
      <c r="V61" s="45"/>
      <c r="W61" s="45"/>
      <c r="X61" s="45"/>
      <c r="Y61" s="45"/>
      <c r="Z61" s="45"/>
      <c r="AA61" s="45"/>
      <c r="AB61" s="45"/>
      <c r="AC61" s="45"/>
      <c r="AO61" s="24"/>
      <c r="AP61" s="24"/>
      <c r="AQ61" s="24"/>
      <c r="AR61" s="24"/>
      <c r="AS61" s="24"/>
      <c r="AT61" s="24"/>
      <c r="AU61" s="24"/>
      <c r="AV61" s="24"/>
      <c r="AW61" s="24"/>
      <c r="AX61" s="24"/>
    </row>
    <row r="62" spans="1:50">
      <c r="A62" s="17" t="s">
        <v>3</v>
      </c>
      <c r="B62" s="17" t="s">
        <v>30</v>
      </c>
      <c r="C62" s="45">
        <f>('[15]4. Assets (RAB)'!D$58+'[15]4. Assets (RAB)'!D$64)/2</f>
        <v>641951.84497188556</v>
      </c>
      <c r="D62" s="45">
        <f>('[15]4. Assets (RAB)'!E$58+'[15]4. Assets (RAB)'!E$64)/2</f>
        <v>796921.06710264808</v>
      </c>
      <c r="E62" s="45">
        <f>('[15]4. Assets (RAB)'!F$58+'[15]4. Assets (RAB)'!F$64)/2</f>
        <v>960156.2564666901</v>
      </c>
      <c r="F62" s="45">
        <f>('[15]4. Assets (RAB)'!G$58+'[15]4. Assets (RAB)'!G$64)/2</f>
        <v>1165571.0113495197</v>
      </c>
      <c r="G62" s="45">
        <f>('[15]4. Assets (RAB)'!H$58+'[15]4. Assets (RAB)'!H$64)/2</f>
        <v>1390616.3576896591</v>
      </c>
      <c r="H62" s="45">
        <f>('[15]4. Assets (RAB)'!I$58+'[15]4. Assets (RAB)'!I$64)/2</f>
        <v>1614859.7145305811</v>
      </c>
      <c r="I62" s="45">
        <f>('[15]4. Assets (RAB)'!J$58+'[15]4. Assets (RAB)'!J$64)/2</f>
        <v>1941882.3609899008</v>
      </c>
      <c r="J62" s="45">
        <f>('[15]4. Assets (RAB)'!K$58+'[15]4. Assets (RAB)'!K$64)/2</f>
        <v>2279999.2574435649</v>
      </c>
      <c r="K62" s="86">
        <f>('[16]3.3 Assets (RAB)'!$E$63+'[16]3.3 Assets (RAB)'!$E$69)/2</f>
        <v>2508756.1573152118</v>
      </c>
      <c r="L62" s="86">
        <f>('[17]3.3 Assets (RAB)'!$E$63+'[17]3.3 Assets (RAB)'!$E$69)/2/1000</f>
        <v>2285393.9829757642</v>
      </c>
      <c r="M62" s="86">
        <f>('[18]3.3 Assets (RAB)'!$C$61+'[18]3.3 Assets (RAB)'!$C$66)/2/1000</f>
        <v>2335595.1189298304</v>
      </c>
      <c r="Q62" s="17" t="s">
        <v>3</v>
      </c>
      <c r="R62" s="17" t="s">
        <v>30</v>
      </c>
      <c r="S62" s="45">
        <f>(C$45/100)*C62</f>
        <v>264288.18094881979</v>
      </c>
      <c r="T62" s="45">
        <f t="shared" ref="T62:AC62" si="27">(D$45/100)*D62</f>
        <v>332143.49939806777</v>
      </c>
      <c r="U62" s="45">
        <f t="shared" si="27"/>
        <v>401731.72973096912</v>
      </c>
      <c r="V62" s="45">
        <f t="shared" si="27"/>
        <v>489250.4416191529</v>
      </c>
      <c r="W62" s="45">
        <f t="shared" si="27"/>
        <v>580241.88003146218</v>
      </c>
      <c r="X62" s="45">
        <f t="shared" si="27"/>
        <v>673054.29233500327</v>
      </c>
      <c r="Y62" s="45">
        <f t="shared" si="27"/>
        <v>813761.49467817892</v>
      </c>
      <c r="Z62" s="45">
        <f t="shared" si="27"/>
        <v>920383.27276208717</v>
      </c>
      <c r="AA62" s="45">
        <f t="shared" si="27"/>
        <v>905233.92786832142</v>
      </c>
      <c r="AB62" s="45">
        <f t="shared" si="27"/>
        <v>819622.75571466552</v>
      </c>
      <c r="AC62" s="45">
        <f t="shared" si="27"/>
        <v>832468.05935617536</v>
      </c>
      <c r="AO62" s="24"/>
      <c r="AP62" s="24"/>
      <c r="AQ62" s="24"/>
      <c r="AR62" s="24"/>
      <c r="AS62" s="24"/>
      <c r="AT62" s="24"/>
      <c r="AU62" s="24"/>
      <c r="AV62" s="24"/>
      <c r="AW62" s="24"/>
      <c r="AX62" s="24"/>
    </row>
    <row r="63" spans="1:50">
      <c r="A63" s="17" t="s">
        <v>4</v>
      </c>
      <c r="B63" s="17" t="s">
        <v>30</v>
      </c>
      <c r="C63" s="45">
        <f>('[19]4. Assets (RAB)'!D$58+'[19]4. Assets (RAB)'!D$64)/2</f>
        <v>1064586.902990496</v>
      </c>
      <c r="D63" s="45">
        <f>('[19]4. Assets (RAB)'!E$58+'[19]4. Assets (RAB)'!E$64)/2</f>
        <v>1203521.9747694018</v>
      </c>
      <c r="E63" s="45">
        <f>('[19]4. Assets (RAB)'!F$58+'[19]4. Assets (RAB)'!F$64)/2</f>
        <v>1349931.8864658102</v>
      </c>
      <c r="F63" s="45">
        <f>('[19]4. Assets (RAB)'!G$58+'[19]4. Assets (RAB)'!G$64)/2</f>
        <v>1527135.6227859654</v>
      </c>
      <c r="G63" s="45">
        <f>('[19]4. Assets (RAB)'!H$58+'[19]4. Assets (RAB)'!H$64)/2</f>
        <v>1765449.5605824122</v>
      </c>
      <c r="H63" s="45">
        <f>('[19]4. Assets (RAB)'!I$58+'[19]4. Assets (RAB)'!I$64)/2</f>
        <v>2019956.2129993045</v>
      </c>
      <c r="I63" s="45">
        <f>('[19]4. Assets (RAB)'!J$58+'[19]4. Assets (RAB)'!J$64)/2</f>
        <v>2235273.4210156333</v>
      </c>
      <c r="J63" s="45">
        <f>('[19]4. Assets (RAB)'!K$58+'[19]4. Assets (RAB)'!K$64)/2</f>
        <v>2426079.4471347304</v>
      </c>
      <c r="K63" s="45">
        <f>('[20]3.3 Assets (RAB)'!$E$63+'[20]3.3 Assets (RAB)'!$E$69)/2</f>
        <v>2640425.5666344049</v>
      </c>
      <c r="L63" s="45">
        <f>('[21]3.3 Assets (RAB)'!$E$63+'[21]3.3 Assets (RAB)'!$E$69)/2/1000</f>
        <v>2739411.6319505502</v>
      </c>
      <c r="M63" s="45">
        <f>('[22]3.3 Assets (RAB)'!$C$61+'[22]3.3 Assets (RAB)'!$C$66)/2/1000</f>
        <v>2755691.0664536837</v>
      </c>
      <c r="Q63" s="17" t="s">
        <v>4</v>
      </c>
      <c r="R63" s="17" t="s">
        <v>30</v>
      </c>
      <c r="S63" s="45">
        <f>(C$46/100)*C63</f>
        <v>414057.72964347486</v>
      </c>
      <c r="T63" s="45">
        <f t="shared" ref="T63:AC63" si="28">(D$46/100)*D63</f>
        <v>479399.94704449706</v>
      </c>
      <c r="U63" s="45">
        <f t="shared" si="28"/>
        <v>543423.34707503428</v>
      </c>
      <c r="V63" s="45">
        <f t="shared" si="28"/>
        <v>605988.81501697167</v>
      </c>
      <c r="W63" s="45">
        <f t="shared" si="28"/>
        <v>699244.9074044429</v>
      </c>
      <c r="X63" s="45">
        <f t="shared" si="28"/>
        <v>808869.95050953038</v>
      </c>
      <c r="Y63" s="45">
        <f t="shared" si="28"/>
        <v>899664.58888199937</v>
      </c>
      <c r="Z63" s="45">
        <f t="shared" si="28"/>
        <v>962507.422942715</v>
      </c>
      <c r="AA63" s="45">
        <f t="shared" si="28"/>
        <v>1055411.6646942832</v>
      </c>
      <c r="AB63" s="45">
        <f t="shared" si="28"/>
        <v>1051284.6635264272</v>
      </c>
      <c r="AC63" s="45">
        <f t="shared" si="28"/>
        <v>1067939.6523621946</v>
      </c>
      <c r="AO63" s="24"/>
      <c r="AP63" s="24"/>
      <c r="AQ63" s="24"/>
      <c r="AR63" s="24"/>
      <c r="AS63" s="24"/>
      <c r="AT63" s="24"/>
      <c r="AU63" s="24"/>
      <c r="AV63" s="24"/>
      <c r="AW63" s="24"/>
      <c r="AX63" s="24"/>
    </row>
    <row r="64" spans="1:50">
      <c r="A64" s="17" t="s">
        <v>10</v>
      </c>
      <c r="B64" s="17" t="s">
        <v>30</v>
      </c>
      <c r="C64" s="48">
        <f>('[23]4. Assets (RAB)'!D$58+'[23]4. Assets (RAB)'!D$64)/2</f>
        <v>643788.28620734857</v>
      </c>
      <c r="D64" s="48">
        <f>('[23]4. Assets (RAB)'!E$58+'[23]4. Assets (RAB)'!E$64)/2</f>
        <v>719397.91145408142</v>
      </c>
      <c r="E64" s="48">
        <f>('[23]4. Assets (RAB)'!F$58+'[23]4. Assets (RAB)'!F$64)/2</f>
        <v>852686.07009997149</v>
      </c>
      <c r="F64" s="48">
        <f>('[23]4. Assets (RAB)'!G$58+'[23]4. Assets (RAB)'!G$64)/2</f>
        <v>1034166.6355329596</v>
      </c>
      <c r="G64" s="48">
        <f>('[23]4. Assets (RAB)'!H$58+'[23]4. Assets (RAB)'!H$64)/2</f>
        <v>1196040.5544486537</v>
      </c>
      <c r="H64" s="48">
        <f>('[23]4. Assets (RAB)'!I$58+'[23]4. Assets (RAB)'!I$64)/2</f>
        <v>1313793.0046200235</v>
      </c>
      <c r="I64" s="48">
        <f>('[23]4. Assets (RAB)'!J$58+'[23]4. Assets (RAB)'!J$64)/2</f>
        <v>1393359.3684675992</v>
      </c>
      <c r="J64" s="48">
        <f>('[23]4. Assets (RAB)'!K$58+'[23]4. Assets (RAB)'!K$64)/2</f>
        <v>1464188.4245289564</v>
      </c>
      <c r="K64" s="45">
        <f>('[24]3.3 Assets (RAB)'!$E$63+'[24]3.3 Assets (RAB)'!$E$69)/2</f>
        <v>1569996.311663406</v>
      </c>
      <c r="L64" s="45">
        <f>('[25]3.3 Assets (RAB)'!$E$63+'[25]3.3 Assets (RAB)'!$E$69)/2/1000</f>
        <v>1714798.0517001948</v>
      </c>
      <c r="M64" s="45">
        <f>('[26]3.3 Assets (RAB)'!$C$61+'[26]3.3 Assets (RAB)'!$C$66)/2/1000</f>
        <v>1686972.6689513165</v>
      </c>
      <c r="Q64" s="17" t="s">
        <v>10</v>
      </c>
      <c r="R64" s="17" t="s">
        <v>30</v>
      </c>
      <c r="S64" s="45">
        <f>(C$47/100)*C64</f>
        <v>238003.25482972895</v>
      </c>
      <c r="T64" s="45">
        <f t="shared" ref="T64:AC64" si="29">(D$47/100)*D64</f>
        <v>267621.9238958254</v>
      </c>
      <c r="U64" s="45">
        <f t="shared" si="29"/>
        <v>317295.0223775137</v>
      </c>
      <c r="V64" s="45">
        <f t="shared" si="29"/>
        <v>381272.90901645948</v>
      </c>
      <c r="W64" s="45">
        <f t="shared" si="29"/>
        <v>416173.87353749044</v>
      </c>
      <c r="X64" s="45">
        <f t="shared" si="29"/>
        <v>462611.36778195464</v>
      </c>
      <c r="Y64" s="45">
        <f t="shared" si="29"/>
        <v>498843.97084081982</v>
      </c>
      <c r="Z64" s="45">
        <f t="shared" si="29"/>
        <v>538625.37611462059</v>
      </c>
      <c r="AA64" s="45">
        <f t="shared" si="29"/>
        <v>543081.50478196738</v>
      </c>
      <c r="AB64" s="45">
        <f t="shared" si="29"/>
        <v>606863.34596859023</v>
      </c>
      <c r="AC64" s="45">
        <f t="shared" si="29"/>
        <v>580314.08981527598</v>
      </c>
      <c r="AO64" s="24"/>
      <c r="AP64" s="24"/>
      <c r="AQ64" s="24"/>
      <c r="AR64" s="24"/>
      <c r="AS64" s="24"/>
      <c r="AT64" s="24"/>
      <c r="AU64" s="24"/>
      <c r="AV64" s="24"/>
      <c r="AW64" s="24"/>
      <c r="AX64" s="24"/>
    </row>
    <row r="65" spans="1:50">
      <c r="A65" s="17" t="s">
        <v>5</v>
      </c>
      <c r="B65" s="17" t="s">
        <v>30</v>
      </c>
      <c r="C65" s="48">
        <f>('[27]4. Assets (RAB)'!D$58+'[27]4. Assets (RAB)'!D$64)/2</f>
        <v>367959.44253302703</v>
      </c>
      <c r="D65" s="48">
        <f>('[27]4. Assets (RAB)'!E$58+'[27]4. Assets (RAB)'!E$64)/2</f>
        <v>459563.97093092254</v>
      </c>
      <c r="E65" s="48">
        <f>('[27]4. Assets (RAB)'!F$58+'[27]4. Assets (RAB)'!F$64)/2</f>
        <v>595153.50103032449</v>
      </c>
      <c r="F65" s="48">
        <f>('[27]4. Assets (RAB)'!G$58+'[27]4. Assets (RAB)'!G$64)/2</f>
        <v>712980.16133201914</v>
      </c>
      <c r="G65" s="48">
        <f>('[27]4. Assets (RAB)'!H$58+'[27]4. Assets (RAB)'!H$64)/2</f>
        <v>831395.53296493343</v>
      </c>
      <c r="H65" s="48">
        <f>('[27]4. Assets (RAB)'!I$58+'[27]4. Assets (RAB)'!I$64)/2</f>
        <v>918804.31810920208</v>
      </c>
      <c r="I65" s="48">
        <f>('[27]4. Assets (RAB)'!J$58+'[27]4. Assets (RAB)'!J$64)/2</f>
        <v>1024927.8740779283</v>
      </c>
      <c r="J65" s="48">
        <f>('[27]4. Assets (RAB)'!K$58+'[27]4. Assets (RAB)'!K$64)/2</f>
        <v>1129858.410220156</v>
      </c>
      <c r="K65" s="101">
        <f>('[28]3.3 Assets (RAB)'!$E$63+'[28]3.3 Assets (RAB)'!$E$69)/2</f>
        <v>1160871.0221588679</v>
      </c>
      <c r="L65" s="45">
        <f>('[29]3.3 Assets (RAB)'!$E$63+'[29]3.3 Assets (RAB)'!$E$69)/2</f>
        <v>1231976.4744858674</v>
      </c>
      <c r="M65" s="45">
        <f>('[30]3.3 Assets (RAB)'!$C$61+'[30]3.3 Assets (RAB)'!$C$66)/2/1000</f>
        <v>1272925.2688387719</v>
      </c>
      <c r="Q65" s="17" t="s">
        <v>5</v>
      </c>
      <c r="R65" s="17" t="s">
        <v>30</v>
      </c>
      <c r="S65" s="45">
        <f>(C$48/100)*C65</f>
        <v>70218.571908062979</v>
      </c>
      <c r="T65" s="45">
        <f t="shared" ref="T65:AC65" si="30">(D$48/100)*D65</f>
        <v>86869.548797535288</v>
      </c>
      <c r="U65" s="45">
        <f t="shared" si="30"/>
        <v>115664.70606391088</v>
      </c>
      <c r="V65" s="45">
        <f t="shared" si="30"/>
        <v>136114.29334112364</v>
      </c>
      <c r="W65" s="45">
        <f t="shared" si="30"/>
        <v>151952.71772416937</v>
      </c>
      <c r="X65" s="45">
        <f t="shared" si="30"/>
        <v>172462.02006478052</v>
      </c>
      <c r="Y65" s="45">
        <f t="shared" si="30"/>
        <v>189079.6398915734</v>
      </c>
      <c r="Z65" s="45">
        <f t="shared" si="30"/>
        <v>209658.3812151626</v>
      </c>
      <c r="AA65" s="45">
        <f t="shared" si="30"/>
        <v>221192.18769343357</v>
      </c>
      <c r="AB65" s="45">
        <f t="shared" si="30"/>
        <v>232390.7787953885</v>
      </c>
      <c r="AC65" s="45">
        <f t="shared" si="30"/>
        <v>236456.70628583996</v>
      </c>
      <c r="AO65" s="24"/>
      <c r="AP65" s="24"/>
      <c r="AQ65" s="24"/>
      <c r="AR65" s="24"/>
      <c r="AS65" s="24"/>
      <c r="AT65" s="24"/>
      <c r="AU65" s="24"/>
      <c r="AV65" s="24"/>
      <c r="AW65" s="24"/>
      <c r="AX65" s="24"/>
    </row>
    <row r="66" spans="1:50">
      <c r="A66" s="17" t="s">
        <v>6</v>
      </c>
      <c r="B66" s="17" t="s">
        <v>30</v>
      </c>
      <c r="K66" s="45"/>
      <c r="L66" s="45"/>
      <c r="M66" s="45"/>
      <c r="Q66" s="17" t="s">
        <v>6</v>
      </c>
      <c r="R66" s="17" t="s">
        <v>30</v>
      </c>
      <c r="S66" s="2"/>
      <c r="T66" s="2"/>
      <c r="U66" s="2"/>
      <c r="V66" s="2"/>
      <c r="W66" s="2"/>
      <c r="X66" s="2"/>
      <c r="Y66" s="2"/>
      <c r="Z66" s="2"/>
      <c r="AA66" s="2"/>
      <c r="AB66" s="2"/>
      <c r="AC66" s="2"/>
      <c r="AO66" s="24"/>
      <c r="AP66" s="24"/>
      <c r="AQ66" s="24"/>
      <c r="AR66" s="24"/>
      <c r="AS66" s="24"/>
      <c r="AT66" s="24"/>
      <c r="AU66" s="24"/>
      <c r="AV66" s="24"/>
      <c r="AW66" s="24"/>
      <c r="AX66" s="24"/>
    </row>
    <row r="67" spans="1:50">
      <c r="A67" s="17" t="s">
        <v>7</v>
      </c>
      <c r="B67" s="17" t="s">
        <v>30</v>
      </c>
      <c r="C67" s="48"/>
      <c r="D67" s="45"/>
      <c r="E67" s="45"/>
      <c r="F67" s="45"/>
      <c r="G67" s="45"/>
      <c r="H67" s="45"/>
      <c r="I67" s="45"/>
      <c r="J67" s="45"/>
      <c r="K67" s="45"/>
      <c r="L67" s="45"/>
      <c r="M67" s="45"/>
      <c r="Q67" s="17" t="s">
        <v>7</v>
      </c>
      <c r="R67" s="17" t="s">
        <v>30</v>
      </c>
      <c r="S67" s="48"/>
      <c r="T67" s="48"/>
      <c r="U67" s="48"/>
      <c r="V67" s="48"/>
      <c r="W67" s="48"/>
      <c r="X67" s="48"/>
      <c r="Y67" s="48"/>
      <c r="Z67" s="48"/>
      <c r="AA67" s="48"/>
      <c r="AB67" s="48"/>
      <c r="AC67" s="48"/>
      <c r="AO67" s="24"/>
      <c r="AP67" s="24"/>
      <c r="AQ67" s="24"/>
      <c r="AR67" s="24"/>
      <c r="AS67" s="24"/>
      <c r="AT67" s="24"/>
      <c r="AU67" s="24"/>
      <c r="AV67" s="24"/>
      <c r="AW67" s="24"/>
      <c r="AX67" s="24"/>
    </row>
    <row r="68" spans="1:50">
      <c r="A68" s="17" t="s">
        <v>8</v>
      </c>
      <c r="B68" s="17" t="s">
        <v>30</v>
      </c>
      <c r="C68" s="48">
        <f>('[39]4. Assets (RAB)'!D$58+'[39]4. Assets (RAB)'!D$64)/2</f>
        <v>262365.05577601714</v>
      </c>
      <c r="D68" s="48">
        <f>('[39]4. Assets (RAB)'!E$58+'[39]4. Assets (RAB)'!E$64)/2</f>
        <v>273119.01459389867</v>
      </c>
      <c r="E68" s="48">
        <f>('[39]4. Assets (RAB)'!F$58+'[39]4. Assets (RAB)'!F$64)/2</f>
        <v>285409.16345117585</v>
      </c>
      <c r="F68" s="48">
        <f>('[39]4. Assets (RAB)'!G$58+'[39]4. Assets (RAB)'!G$64)/2</f>
        <v>299427.6907792532</v>
      </c>
      <c r="G68" s="48">
        <f>('[39]4. Assets (RAB)'!H$58+'[39]4. Assets (RAB)'!H$64)/2</f>
        <v>319826.84206352971</v>
      </c>
      <c r="H68" s="48">
        <f>('[39]4. Assets (RAB)'!I$58+'[39]4. Assets (RAB)'!I$64)/2</f>
        <v>351996.6629019574</v>
      </c>
      <c r="I68" s="48">
        <f>('[39]4. Assets (RAB)'!J$58+'[39]4. Assets (RAB)'!J$64)/2</f>
        <v>393985.91498462117</v>
      </c>
      <c r="J68" s="48">
        <f>('[39]4. Assets (RAB)'!K$58+'[39]4. Assets (RAB)'!K$64)/2</f>
        <v>434750.36300753744</v>
      </c>
      <c r="K68" s="45">
        <f>('[40]3.3 Assets (RAB)'!$E$63+'[40]3.3 Assets (RAB)'!$E$69)/2</f>
        <v>470000.73282084067</v>
      </c>
      <c r="L68" s="45">
        <f>('[41]3.3 Assets (RAB)'!$E$63+'[41]3.3 Assets (RAB)'!$E$69)/2/1000</f>
        <v>498474.74787336984</v>
      </c>
      <c r="M68" s="45">
        <f>('[42]3.3 Assets (RAB)'!$C$61+'[42]3.3 Assets (RAB)'!$C$66)/2/1000</f>
        <v>501405.16335795401</v>
      </c>
      <c r="Q68" s="17" t="s">
        <v>8</v>
      </c>
      <c r="R68" s="17" t="s">
        <v>30</v>
      </c>
      <c r="S68" s="45">
        <f>(C$51/100)*C68</f>
        <v>17992.096337107712</v>
      </c>
      <c r="T68" s="45">
        <f t="shared" ref="T68:AC68" si="31">(D$51/100)*D68</f>
        <v>18060.874929953377</v>
      </c>
      <c r="U68" s="45">
        <f t="shared" si="31"/>
        <v>18962.381639119107</v>
      </c>
      <c r="V68" s="45">
        <f t="shared" si="31"/>
        <v>20401.965085873882</v>
      </c>
      <c r="W68" s="45">
        <f t="shared" si="31"/>
        <v>21762.506944779358</v>
      </c>
      <c r="X68" s="45">
        <f t="shared" si="31"/>
        <v>24039.477453339321</v>
      </c>
      <c r="Y68" s="45">
        <f t="shared" si="31"/>
        <v>25648.594114492989</v>
      </c>
      <c r="Z68" s="45">
        <f t="shared" si="31"/>
        <v>27470.560863024351</v>
      </c>
      <c r="AA68" s="45">
        <f t="shared" si="31"/>
        <v>26938.186929616386</v>
      </c>
      <c r="AB68" s="45">
        <f t="shared" si="31"/>
        <v>26068.939589570669</v>
      </c>
      <c r="AC68" s="45">
        <f t="shared" si="31"/>
        <v>26307.469254815744</v>
      </c>
      <c r="AO68" s="24"/>
      <c r="AP68" s="24"/>
      <c r="AQ68" s="24"/>
      <c r="AR68" s="24"/>
      <c r="AS68" s="24"/>
      <c r="AT68" s="24"/>
      <c r="AU68" s="24"/>
      <c r="AV68" s="24"/>
      <c r="AW68" s="24"/>
      <c r="AX68" s="24"/>
    </row>
    <row r="69" spans="1:50">
      <c r="A69" s="17" t="s">
        <v>73</v>
      </c>
      <c r="B69" s="17" t="s">
        <v>30</v>
      </c>
      <c r="C69" s="48"/>
      <c r="D69" s="45"/>
      <c r="E69" s="45"/>
      <c r="F69" s="45"/>
      <c r="G69" s="45"/>
      <c r="H69" s="45"/>
      <c r="I69" s="45"/>
      <c r="J69" s="45"/>
      <c r="K69" s="45"/>
      <c r="L69" s="45"/>
      <c r="M69" s="45"/>
      <c r="Q69" s="17" t="s">
        <v>73</v>
      </c>
      <c r="R69" s="17" t="s">
        <v>30</v>
      </c>
      <c r="S69" s="48"/>
      <c r="T69" s="45"/>
      <c r="U69" s="45"/>
      <c r="V69" s="45"/>
      <c r="W69" s="45"/>
      <c r="X69" s="45"/>
      <c r="Y69" s="45"/>
      <c r="Z69" s="45"/>
      <c r="AA69" s="45"/>
      <c r="AB69" s="45"/>
      <c r="AC69" s="45"/>
      <c r="AO69" s="24"/>
      <c r="AP69" s="24"/>
      <c r="AQ69" s="24"/>
      <c r="AR69" s="24"/>
      <c r="AS69" s="24"/>
      <c r="AT69" s="24"/>
      <c r="AU69" s="24"/>
      <c r="AV69" s="24"/>
      <c r="AW69" s="24"/>
      <c r="AX69" s="24"/>
    </row>
    <row r="70" spans="1:50">
      <c r="A70" s="17" t="s">
        <v>54</v>
      </c>
      <c r="B70" s="17" t="s">
        <v>30</v>
      </c>
      <c r="C70" s="48"/>
      <c r="D70" s="45"/>
      <c r="E70" s="45"/>
      <c r="F70" s="45"/>
      <c r="G70" s="45"/>
      <c r="H70" s="45"/>
      <c r="I70" s="45"/>
      <c r="J70" s="45"/>
      <c r="K70" s="45"/>
      <c r="L70" s="45"/>
      <c r="M70" s="45"/>
      <c r="Q70" s="17" t="s">
        <v>54</v>
      </c>
      <c r="R70" s="17" t="s">
        <v>30</v>
      </c>
      <c r="S70" s="48"/>
      <c r="T70" s="45"/>
      <c r="U70" s="45"/>
      <c r="V70" s="45"/>
      <c r="W70" s="45"/>
      <c r="X70" s="45"/>
      <c r="Y70" s="45"/>
      <c r="Z70" s="45"/>
      <c r="AA70" s="45"/>
      <c r="AB70" s="45"/>
      <c r="AC70" s="45"/>
      <c r="AO70" s="24"/>
      <c r="AP70" s="24"/>
      <c r="AQ70" s="24"/>
      <c r="AR70" s="24"/>
      <c r="AS70" s="24"/>
      <c r="AT70" s="24"/>
      <c r="AU70" s="24"/>
      <c r="AV70" s="24"/>
      <c r="AW70" s="24"/>
      <c r="AX70" s="24"/>
    </row>
    <row r="71" spans="1:50">
      <c r="A71" s="17" t="s">
        <v>9</v>
      </c>
      <c r="B71" s="17" t="s">
        <v>30</v>
      </c>
      <c r="C71" s="45"/>
      <c r="D71" s="45"/>
      <c r="E71" s="45"/>
      <c r="F71" s="45"/>
      <c r="G71" s="45"/>
      <c r="H71" s="45"/>
      <c r="I71" s="45"/>
      <c r="J71" s="45"/>
      <c r="K71" s="45"/>
      <c r="L71" s="45"/>
      <c r="M71" s="45"/>
      <c r="Q71" s="17" t="s">
        <v>9</v>
      </c>
      <c r="R71" s="17" t="s">
        <v>30</v>
      </c>
      <c r="S71" s="45"/>
      <c r="T71" s="45"/>
      <c r="U71" s="45"/>
      <c r="V71" s="45"/>
      <c r="W71" s="45"/>
      <c r="X71" s="45"/>
      <c r="Y71" s="45"/>
      <c r="Z71" s="45"/>
      <c r="AA71" s="45"/>
      <c r="AB71" s="45"/>
      <c r="AC71" s="45"/>
      <c r="AO71" s="24"/>
      <c r="AP71" s="24"/>
      <c r="AQ71" s="24"/>
      <c r="AR71" s="24"/>
      <c r="AS71" s="24"/>
      <c r="AT71" s="24"/>
      <c r="AU71" s="24"/>
      <c r="AV71" s="24"/>
      <c r="AW71" s="24"/>
      <c r="AX71" s="24"/>
    </row>
    <row r="72" spans="1:50">
      <c r="Q72" s="2"/>
      <c r="R72" s="2"/>
      <c r="S72" s="2"/>
      <c r="T72" s="2"/>
      <c r="U72" s="2"/>
      <c r="V72" s="2"/>
      <c r="W72" s="2"/>
      <c r="X72" s="2"/>
      <c r="Y72" s="2"/>
      <c r="Z72" s="2"/>
      <c r="AA72" s="2"/>
      <c r="AB72" s="2"/>
      <c r="AC72" s="2"/>
    </row>
    <row r="73" spans="1:50" s="23" customFormat="1">
      <c r="A73" s="41" t="s">
        <v>151</v>
      </c>
      <c r="L73" s="100"/>
      <c r="M73" s="100"/>
      <c r="Q73" s="41" t="s">
        <v>154</v>
      </c>
      <c r="AB73" s="100"/>
    </row>
    <row r="74" spans="1:50">
      <c r="A74" s="85" t="s">
        <v>99</v>
      </c>
      <c r="B74" s="2"/>
      <c r="C74" s="2"/>
      <c r="D74" s="2"/>
      <c r="E74" s="2"/>
      <c r="F74" s="2"/>
      <c r="G74" s="2"/>
      <c r="H74" s="2"/>
      <c r="I74" s="2"/>
      <c r="J74" s="2"/>
      <c r="K74" s="2"/>
      <c r="L74" s="2"/>
      <c r="Q74" s="85" t="s">
        <v>99</v>
      </c>
      <c r="R74" s="2"/>
      <c r="S74" s="2"/>
      <c r="T74" s="2"/>
      <c r="U74" s="2"/>
      <c r="V74" s="2"/>
      <c r="W74" s="2"/>
      <c r="X74" s="2"/>
      <c r="Y74" s="2"/>
      <c r="Z74" s="2"/>
      <c r="AA74" s="2"/>
      <c r="AB74" s="2"/>
      <c r="AC74" s="2"/>
    </row>
    <row r="75" spans="1:50">
      <c r="A75" s="2"/>
      <c r="B75" s="2"/>
      <c r="C75" s="2">
        <v>2006</v>
      </c>
      <c r="D75" s="2">
        <v>2007</v>
      </c>
      <c r="E75" s="2">
        <v>2008</v>
      </c>
      <c r="F75" s="2">
        <v>2009</v>
      </c>
      <c r="G75" s="2">
        <v>2010</v>
      </c>
      <c r="H75" s="2">
        <v>2011</v>
      </c>
      <c r="I75" s="2">
        <v>2012</v>
      </c>
      <c r="J75" s="2">
        <v>2013</v>
      </c>
      <c r="K75" s="2">
        <v>2014</v>
      </c>
      <c r="L75" s="2">
        <v>2015</v>
      </c>
      <c r="M75" s="2">
        <v>2016</v>
      </c>
      <c r="Q75" s="2"/>
      <c r="R75" s="2"/>
      <c r="S75" s="2">
        <v>2006</v>
      </c>
      <c r="T75" s="2">
        <v>2007</v>
      </c>
      <c r="U75" s="2">
        <v>2008</v>
      </c>
      <c r="V75" s="2">
        <v>2009</v>
      </c>
      <c r="W75" s="2">
        <v>2010</v>
      </c>
      <c r="X75" s="2">
        <v>2011</v>
      </c>
      <c r="Y75" s="2">
        <v>2012</v>
      </c>
      <c r="Z75" s="2">
        <v>2013</v>
      </c>
      <c r="AA75" s="2">
        <v>2014</v>
      </c>
      <c r="AB75" s="2">
        <v>2015</v>
      </c>
      <c r="AC75" s="2">
        <v>2016</v>
      </c>
      <c r="AO75" s="2"/>
      <c r="AP75" s="2"/>
      <c r="AQ75" s="2"/>
      <c r="AR75" s="2"/>
      <c r="AS75" s="2"/>
      <c r="AT75" s="2"/>
      <c r="AU75" s="2"/>
      <c r="AV75" s="2"/>
      <c r="AW75" s="2"/>
      <c r="AX75" s="2"/>
    </row>
    <row r="76" spans="1:50">
      <c r="A76" s="17" t="s">
        <v>1</v>
      </c>
      <c r="B76" s="17" t="s">
        <v>30</v>
      </c>
      <c r="C76" s="45"/>
      <c r="D76" s="45"/>
      <c r="E76" s="45"/>
      <c r="F76" s="45"/>
      <c r="G76" s="45"/>
      <c r="H76" s="45"/>
      <c r="I76" s="45"/>
      <c r="J76" s="45"/>
      <c r="K76" s="45"/>
      <c r="L76" s="45"/>
      <c r="M76" s="45"/>
      <c r="Q76" s="17" t="s">
        <v>1</v>
      </c>
      <c r="R76" s="17" t="s">
        <v>30</v>
      </c>
      <c r="S76" s="45"/>
      <c r="T76" s="45"/>
      <c r="U76" s="45"/>
      <c r="V76" s="45"/>
      <c r="W76" s="45"/>
      <c r="X76" s="45"/>
      <c r="Y76" s="45"/>
      <c r="Z76" s="45"/>
      <c r="AA76" s="45"/>
      <c r="AB76" s="45"/>
      <c r="AC76" s="45"/>
      <c r="AO76" s="24"/>
      <c r="AP76" s="24"/>
      <c r="AQ76" s="24"/>
      <c r="AR76" s="24"/>
      <c r="AS76" s="24"/>
      <c r="AT76" s="24"/>
      <c r="AU76" s="24"/>
      <c r="AV76" s="24"/>
      <c r="AW76" s="24"/>
      <c r="AX76" s="24"/>
    </row>
    <row r="77" spans="1:50">
      <c r="A77" s="17" t="s">
        <v>78</v>
      </c>
      <c r="B77" s="17" t="s">
        <v>30</v>
      </c>
      <c r="C77" s="45">
        <f>'[7]4. Assets (RAB)'!D$60</f>
        <v>-40651.47</v>
      </c>
      <c r="D77" s="45">
        <f>'[7]4. Assets (RAB)'!E$60</f>
        <v>-44283.428</v>
      </c>
      <c r="E77" s="45">
        <f>'[7]4. Assets (RAB)'!F$60</f>
        <v>-48465.733</v>
      </c>
      <c r="F77" s="45">
        <f>'[7]4. Assets (RAB)'!G$60</f>
        <v>-53069.135000000002</v>
      </c>
      <c r="G77" s="45">
        <f>'[7]4. Assets (RAB)'!H$60</f>
        <v>-50081.940999999999</v>
      </c>
      <c r="H77" s="45">
        <f>'[7]4. Assets (RAB)'!I$60</f>
        <v>-57581.985999999997</v>
      </c>
      <c r="I77" s="45">
        <f>'[7]4. Assets (RAB)'!J$60</f>
        <v>-65508.462</v>
      </c>
      <c r="J77" s="45">
        <f>'[7]4. Assets (RAB)'!K$60</f>
        <v>-75034.396999999997</v>
      </c>
      <c r="K77" s="45">
        <f>'[8]3.3 Assets (RAB)'!$E$65</f>
        <v>-83422.857014641209</v>
      </c>
      <c r="L77" s="45">
        <f>'[9]3.3 Assets (RAB)'!$E$65</f>
        <v>-83502.79074818622</v>
      </c>
      <c r="M77" s="45">
        <f>'[10]3.3 Assets (RAB)'!$C$63/1000</f>
        <v>-88983.640705866987</v>
      </c>
      <c r="Q77" s="17" t="s">
        <v>78</v>
      </c>
      <c r="R77" s="17" t="s">
        <v>30</v>
      </c>
      <c r="S77" s="45">
        <f>(C$43/100)*C77</f>
        <v>-15851.331618388072</v>
      </c>
      <c r="T77" s="45">
        <f t="shared" ref="T77" si="32">(D$43/100)*D77</f>
        <v>-16873.591856262108</v>
      </c>
      <c r="U77" s="45">
        <f t="shared" ref="U77" si="33">(E$43/100)*E77</f>
        <v>-18025.759992215801</v>
      </c>
      <c r="V77" s="45">
        <f t="shared" ref="V77" si="34">(F$43/100)*F77</f>
        <v>-18795.549799289151</v>
      </c>
      <c r="W77" s="45">
        <f t="shared" ref="W77" si="35">(G$43/100)*G77</f>
        <v>-16933.815167049772</v>
      </c>
      <c r="X77" s="45">
        <f t="shared" ref="X77" si="36">(H$43/100)*H77</f>
        <v>-19477.800155949753</v>
      </c>
      <c r="Y77" s="45">
        <f t="shared" ref="Y77" si="37">(I$43/100)*I77</f>
        <v>-21006.392857689272</v>
      </c>
      <c r="Z77" s="45">
        <f t="shared" ref="Z77" si="38">(J$43/100)*J77</f>
        <v>-23259.760129001203</v>
      </c>
      <c r="AA77" s="45">
        <f t="shared" ref="AA77" si="39">(K$43/100)*K77</f>
        <v>-25655.561469511085</v>
      </c>
      <c r="AB77" s="45">
        <f t="shared" ref="AB77:AC77" si="40">(L$43/100)*L77</f>
        <v>-25279.894039884701</v>
      </c>
      <c r="AC77" s="45">
        <f t="shared" si="40"/>
        <v>-26729.635550543429</v>
      </c>
      <c r="AO77" s="24"/>
      <c r="AP77" s="24"/>
      <c r="AQ77" s="24"/>
      <c r="AR77" s="24"/>
      <c r="AS77" s="24"/>
      <c r="AT77" s="24"/>
      <c r="AU77" s="24"/>
      <c r="AV77" s="24"/>
      <c r="AW77" s="24"/>
      <c r="AX77" s="24"/>
    </row>
    <row r="78" spans="1:50">
      <c r="A78" s="17" t="s">
        <v>2</v>
      </c>
      <c r="B78" s="17" t="s">
        <v>30</v>
      </c>
      <c r="C78" s="45"/>
      <c r="D78" s="45"/>
      <c r="E78" s="45"/>
      <c r="F78" s="45"/>
      <c r="G78" s="45"/>
      <c r="H78" s="45"/>
      <c r="I78" s="45"/>
      <c r="J78" s="45"/>
      <c r="K78" s="45"/>
      <c r="L78" s="45"/>
      <c r="M78" s="45"/>
      <c r="Q78" s="17" t="s">
        <v>2</v>
      </c>
      <c r="R78" s="17" t="s">
        <v>30</v>
      </c>
      <c r="S78" s="45"/>
      <c r="T78" s="45"/>
      <c r="U78" s="45"/>
      <c r="V78" s="45"/>
      <c r="W78" s="45"/>
      <c r="X78" s="45"/>
      <c r="Y78" s="45"/>
      <c r="Z78" s="45"/>
      <c r="AA78" s="45"/>
      <c r="AB78" s="45"/>
      <c r="AC78" s="45"/>
      <c r="AO78" s="24"/>
      <c r="AP78" s="24"/>
      <c r="AQ78" s="24"/>
      <c r="AR78" s="24"/>
      <c r="AS78" s="24"/>
      <c r="AT78" s="24"/>
      <c r="AU78" s="24"/>
      <c r="AV78" s="24"/>
      <c r="AW78" s="24"/>
      <c r="AX78" s="24"/>
    </row>
    <row r="79" spans="1:50">
      <c r="A79" s="17" t="s">
        <v>3</v>
      </c>
      <c r="B79" s="17" t="s">
        <v>30</v>
      </c>
      <c r="C79" s="45">
        <f>'[15]4. Assets (RAB)'!D$60</f>
        <v>-19122.896921894626</v>
      </c>
      <c r="D79" s="45">
        <f>'[15]4. Assets (RAB)'!E$60</f>
        <v>-23788.357430868982</v>
      </c>
      <c r="E79" s="45">
        <f>'[15]4. Assets (RAB)'!F$60</f>
        <v>-25805.893783347747</v>
      </c>
      <c r="F79" s="45">
        <f>'[15]4. Assets (RAB)'!G$60</f>
        <v>-31788.745186515283</v>
      </c>
      <c r="G79" s="45">
        <f>'[15]4. Assets (RAB)'!H$60</f>
        <v>-44039.585443986245</v>
      </c>
      <c r="H79" s="45">
        <f>'[15]4. Assets (RAB)'!I$60</f>
        <v>-42124.884257069818</v>
      </c>
      <c r="I79" s="45">
        <f>'[15]4. Assets (RAB)'!J$60</f>
        <v>-49630.418827217167</v>
      </c>
      <c r="J79" s="45">
        <f>'[15]4. Assets (RAB)'!K$60</f>
        <v>-54803.973565222128</v>
      </c>
      <c r="K79" s="45">
        <f>'[16]3.3 Assets (RAB)'!$E$65</f>
        <v>-60989.804540113619</v>
      </c>
      <c r="L79" s="45">
        <f>'[17]3.3 Assets (RAB)'!$E$65/1000</f>
        <v>-66140.317635673084</v>
      </c>
      <c r="M79" s="45">
        <f>'[18]3.3 Assets (RAB)'!$C$63/1000</f>
        <v>-74954.520466943723</v>
      </c>
      <c r="Q79" s="17" t="s">
        <v>3</v>
      </c>
      <c r="R79" s="17" t="s">
        <v>30</v>
      </c>
      <c r="S79" s="45">
        <f>(C$45/100)*C79</f>
        <v>-7872.7955711080704</v>
      </c>
      <c r="T79" s="45">
        <f t="shared" ref="T79" si="41">(D$45/100)*D79</f>
        <v>-9914.5933119159708</v>
      </c>
      <c r="U79" s="45">
        <f t="shared" ref="U79" si="42">(E$45/100)*E79</f>
        <v>-10797.249173783423</v>
      </c>
      <c r="V79" s="45">
        <f t="shared" ref="V79" si="43">(F$45/100)*F79</f>
        <v>-13343.380600221146</v>
      </c>
      <c r="W79" s="45">
        <f t="shared" ref="W79" si="44">(G$45/100)*G79</f>
        <v>-18375.745195662035</v>
      </c>
      <c r="X79" s="45">
        <f t="shared" ref="X79" si="45">(H$45/100)*H79</f>
        <v>-17557.149954401892</v>
      </c>
      <c r="Y79" s="45">
        <f t="shared" ref="Y79" si="46">(I$45/100)*I79</f>
        <v>-20798.028046226391</v>
      </c>
      <c r="Z79" s="45">
        <f t="shared" ref="Z79" si="47">(J$45/100)*J79</f>
        <v>-22123.103937710195</v>
      </c>
      <c r="AA79" s="45">
        <f t="shared" ref="AA79" si="48">(K$45/100)*K79</f>
        <v>-22006.937646284525</v>
      </c>
      <c r="AB79" s="45">
        <f t="shared" ref="AB79:AC79" si="49">(L$45/100)*L79</f>
        <v>-23720.246840681626</v>
      </c>
      <c r="AC79" s="45">
        <f t="shared" si="49"/>
        <v>-26715.779497638177</v>
      </c>
      <c r="AO79" s="24"/>
      <c r="AP79" s="24"/>
      <c r="AQ79" s="24"/>
      <c r="AR79" s="24"/>
      <c r="AS79" s="24"/>
      <c r="AT79" s="24"/>
      <c r="AU79" s="24"/>
      <c r="AV79" s="24"/>
      <c r="AW79" s="24"/>
      <c r="AX79" s="24"/>
    </row>
    <row r="80" spans="1:50">
      <c r="A80" s="17" t="s">
        <v>4</v>
      </c>
      <c r="B80" s="17" t="s">
        <v>30</v>
      </c>
      <c r="C80" s="45">
        <f>'[19]4. Assets (RAB)'!D$60</f>
        <v>-34688.041929069339</v>
      </c>
      <c r="D80" s="45">
        <f>'[19]4. Assets (RAB)'!E$60</f>
        <v>-38924.931897317576</v>
      </c>
      <c r="E80" s="45">
        <f>'[19]4. Assets (RAB)'!F$60</f>
        <v>-42642.721052440647</v>
      </c>
      <c r="F80" s="45">
        <f>'[19]4. Assets (RAB)'!G$60</f>
        <v>-47123.266383670729</v>
      </c>
      <c r="G80" s="45">
        <f>'[19]4. Assets (RAB)'!H$60</f>
        <v>-52082.600588811794</v>
      </c>
      <c r="H80" s="45">
        <f>'[19]4. Assets (RAB)'!I$60</f>
        <v>-57832.637181117178</v>
      </c>
      <c r="I80" s="45">
        <f>'[19]4. Assets (RAB)'!J$60</f>
        <v>-63951.238489684234</v>
      </c>
      <c r="J80" s="45">
        <f>'[19]4. Assets (RAB)'!K$60</f>
        <v>-69194.885304465075</v>
      </c>
      <c r="K80" s="45">
        <f>'[20]3.3 Assets (RAB)'!$E$65</f>
        <v>-74460.760342543334</v>
      </c>
      <c r="L80" s="45">
        <f>'[21]3.3 Assets (RAB)'!$E$65/1000</f>
        <v>-70160.827472643301</v>
      </c>
      <c r="M80" s="45">
        <f>'[22]3.3 Assets (RAB)'!$C$63/1000</f>
        <v>-67115.663666576249</v>
      </c>
      <c r="Q80" s="17" t="s">
        <v>4</v>
      </c>
      <c r="R80" s="17" t="s">
        <v>30</v>
      </c>
      <c r="S80" s="45">
        <f>(C$46/100)*C80</f>
        <v>-13491.479039035608</v>
      </c>
      <c r="T80" s="45">
        <f t="shared" ref="T80" si="50">(D$46/100)*D80</f>
        <v>-15505.001721185959</v>
      </c>
      <c r="U80" s="45">
        <f t="shared" ref="U80" si="51">(E$46/100)*E80</f>
        <v>-17166.088478265774</v>
      </c>
      <c r="V80" s="45">
        <f t="shared" ref="V80" si="52">(F$46/100)*F80</f>
        <v>-18699.172443816398</v>
      </c>
      <c r="W80" s="45">
        <f t="shared" ref="W80" si="53">(G$46/100)*G80</f>
        <v>-20628.452967011999</v>
      </c>
      <c r="X80" s="45">
        <f t="shared" ref="X80" si="54">(H$46/100)*H80</f>
        <v>-23158.463571379398</v>
      </c>
      <c r="Y80" s="45">
        <f t="shared" ref="Y80" si="55">(I$46/100)*I80</f>
        <v>-25739.430417498828</v>
      </c>
      <c r="Z80" s="45">
        <f t="shared" ref="Z80" si="56">(J$46/100)*J80</f>
        <v>-27451.941367326053</v>
      </c>
      <c r="AA80" s="45">
        <f t="shared" ref="AA80" si="57">(K$46/100)*K80</f>
        <v>-29762.912471604206</v>
      </c>
      <c r="AB80" s="45">
        <f t="shared" ref="AB80:AC80" si="58">(L$46/100)*L80</f>
        <v>-26925.125469294555</v>
      </c>
      <c r="AC80" s="45">
        <f t="shared" si="58"/>
        <v>-26009.983265787861</v>
      </c>
      <c r="AO80" s="24"/>
      <c r="AP80" s="24"/>
      <c r="AQ80" s="24"/>
      <c r="AR80" s="24"/>
      <c r="AS80" s="24"/>
      <c r="AT80" s="24"/>
      <c r="AU80" s="24"/>
      <c r="AV80" s="24"/>
      <c r="AW80" s="24"/>
      <c r="AX80" s="24"/>
    </row>
    <row r="81" spans="1:50">
      <c r="A81" s="17" t="s">
        <v>10</v>
      </c>
      <c r="B81" s="17" t="s">
        <v>30</v>
      </c>
      <c r="C81" s="48">
        <f>'[23]4. Assets (RAB)'!D$60</f>
        <v>-22146.099095084584</v>
      </c>
      <c r="D81" s="48">
        <f>'[23]4. Assets (RAB)'!E$60</f>
        <v>-24117.911709681935</v>
      </c>
      <c r="E81" s="48">
        <f>'[23]4. Assets (RAB)'!F$60</f>
        <v>-26790.781524534155</v>
      </c>
      <c r="F81" s="48">
        <f>'[23]4. Assets (RAB)'!G$60</f>
        <v>-31660.255464834132</v>
      </c>
      <c r="G81" s="48">
        <f>'[23]4. Assets (RAB)'!H$60</f>
        <v>-36739.588011213455</v>
      </c>
      <c r="H81" s="48">
        <f>'[23]4. Assets (RAB)'!I$60</f>
        <v>-41904.999717362414</v>
      </c>
      <c r="I81" s="48">
        <f>'[23]4. Assets (RAB)'!J$60</f>
        <v>-45468.503656468776</v>
      </c>
      <c r="J81" s="48">
        <f>'[23]4. Assets (RAB)'!K$60</f>
        <v>-48106.452107839876</v>
      </c>
      <c r="K81" s="45">
        <f>'[24]3.3 Assets (RAB)'!$E$65</f>
        <v>-51346.506329027448</v>
      </c>
      <c r="L81" s="45">
        <f>'[25]3.3 Assets (RAB)'!$E$65/1000</f>
        <v>-55311.609595055248</v>
      </c>
      <c r="M81" s="45">
        <f>'[26]3.3 Assets (RAB)'!$C$63/1000</f>
        <v>-56904.794795830603</v>
      </c>
      <c r="Q81" s="17" t="s">
        <v>10</v>
      </c>
      <c r="R81" s="17" t="s">
        <v>30</v>
      </c>
      <c r="S81" s="45">
        <f>(C$47/100)*C81</f>
        <v>-8187.2313916476496</v>
      </c>
      <c r="T81" s="45">
        <f t="shared" ref="T81" si="59">(D$47/100)*D81</f>
        <v>-8972.0609822853494</v>
      </c>
      <c r="U81" s="45">
        <f t="shared" ref="U81" si="60">(E$47/100)*E81</f>
        <v>-9969.1808291667203</v>
      </c>
      <c r="V81" s="45">
        <f t="shared" ref="V81" si="61">(F$47/100)*F81</f>
        <v>-11672.391359890136</v>
      </c>
      <c r="W81" s="45">
        <f t="shared" ref="W81" si="62">(G$47/100)*G81</f>
        <v>-12783.894825244117</v>
      </c>
      <c r="X81" s="45">
        <f t="shared" ref="X81" si="63">(H$47/100)*H81</f>
        <v>-14755.543048243135</v>
      </c>
      <c r="Y81" s="45">
        <f t="shared" ref="Y81" si="64">(I$47/100)*I81</f>
        <v>-16278.419929187603</v>
      </c>
      <c r="Z81" s="45">
        <f t="shared" ref="Z81" si="65">(J$47/100)*J81</f>
        <v>-17696.735902321569</v>
      </c>
      <c r="AA81" s="45">
        <f t="shared" ref="AA81" si="66">(K$47/100)*K81</f>
        <v>-17761.40346019069</v>
      </c>
      <c r="AB81" s="45">
        <f t="shared" ref="AB81:AC81" si="67">(L$47/100)*L81</f>
        <v>-19574.65978952033</v>
      </c>
      <c r="AC81" s="45">
        <f t="shared" si="67"/>
        <v>-19575.097336103001</v>
      </c>
      <c r="AO81" s="24"/>
      <c r="AP81" s="24"/>
      <c r="AQ81" s="24"/>
      <c r="AR81" s="24"/>
      <c r="AS81" s="24"/>
      <c r="AT81" s="24"/>
      <c r="AU81" s="24"/>
      <c r="AV81" s="24"/>
      <c r="AW81" s="24"/>
      <c r="AX81" s="24"/>
    </row>
    <row r="82" spans="1:50">
      <c r="A82" s="17" t="s">
        <v>5</v>
      </c>
      <c r="B82" s="17" t="s">
        <v>30</v>
      </c>
      <c r="C82" s="48">
        <f>'[27]4. Assets (RAB)'!D$60</f>
        <v>-24914.346467596883</v>
      </c>
      <c r="D82" s="48">
        <f>'[27]4. Assets (RAB)'!E$60</f>
        <v>-26541.207010957143</v>
      </c>
      <c r="E82" s="48">
        <f>'[27]4. Assets (RAB)'!F$60</f>
        <v>-29669.12315035121</v>
      </c>
      <c r="F82" s="48">
        <f>'[27]4. Assets (RAB)'!G$60</f>
        <v>-32522.801211333186</v>
      </c>
      <c r="G82" s="48">
        <f>'[27]4. Assets (RAB)'!H$60</f>
        <v>-36926.078294581603</v>
      </c>
      <c r="H82" s="48">
        <f>'[27]4. Assets (RAB)'!I$60</f>
        <v>-40114.923688853531</v>
      </c>
      <c r="I82" s="48">
        <f>'[27]4. Assets (RAB)'!J$60</f>
        <v>-43246.635158575824</v>
      </c>
      <c r="J82" s="48">
        <f>'[27]4. Assets (RAB)'!K$60</f>
        <v>-46975.284863905428</v>
      </c>
      <c r="K82" s="101">
        <f>'[28]3.3 Assets (RAB)'!$E$65</f>
        <v>-51807.877511959799</v>
      </c>
      <c r="L82" s="45">
        <f>'[29]3.3 Assets (RAB)'!$E$65</f>
        <v>-47208.031114947509</v>
      </c>
      <c r="M82" s="45">
        <f>'[30]3.3 Assets (RAB)'!$C$63/1000</f>
        <v>-52195.790120941841</v>
      </c>
      <c r="Q82" s="17" t="s">
        <v>5</v>
      </c>
      <c r="R82" s="17" t="s">
        <v>30</v>
      </c>
      <c r="S82" s="45">
        <f>(C$48/100)*C82</f>
        <v>-4754.4637445207582</v>
      </c>
      <c r="T82" s="45">
        <f t="shared" ref="T82" si="68">(D$48/100)*D82</f>
        <v>-5016.9787525192824</v>
      </c>
      <c r="U82" s="45">
        <f t="shared" ref="U82" si="69">(E$48/100)*E82</f>
        <v>-5766.0257436417141</v>
      </c>
      <c r="V82" s="45">
        <f t="shared" ref="V82" si="70">(F$48/100)*F82</f>
        <v>-6208.8938015948315</v>
      </c>
      <c r="W82" s="45">
        <f t="shared" ref="W82" si="71">(G$48/100)*G82</f>
        <v>-6748.9152025475187</v>
      </c>
      <c r="X82" s="45">
        <f t="shared" ref="X82" si="72">(H$48/100)*H82</f>
        <v>-7529.678123804747</v>
      </c>
      <c r="Y82" s="45">
        <f t="shared" ref="Y82" si="73">(I$48/100)*I82</f>
        <v>-7978.179156911141</v>
      </c>
      <c r="Z82" s="45">
        <f t="shared" ref="Z82" si="74">(J$48/100)*J82</f>
        <v>-8716.8109672861428</v>
      </c>
      <c r="AA82" s="45">
        <f t="shared" ref="AA82" si="75">(K$48/100)*K82</f>
        <v>-9871.4650877516415</v>
      </c>
      <c r="AB82" s="45">
        <f t="shared" ref="AB82:AC82" si="76">(L$48/100)*L82</f>
        <v>-8904.9680277197822</v>
      </c>
      <c r="AC82" s="45">
        <f t="shared" si="76"/>
        <v>-9695.8124063669038</v>
      </c>
      <c r="AO82" s="24"/>
      <c r="AP82" s="24"/>
      <c r="AQ82" s="24"/>
      <c r="AR82" s="24"/>
      <c r="AS82" s="24"/>
      <c r="AT82" s="24"/>
      <c r="AU82" s="24"/>
      <c r="AV82" s="24"/>
      <c r="AW82" s="24"/>
      <c r="AX82" s="24"/>
    </row>
    <row r="83" spans="1:50">
      <c r="A83" s="17" t="s">
        <v>6</v>
      </c>
      <c r="B83" s="17" t="s">
        <v>30</v>
      </c>
      <c r="K83" s="45"/>
      <c r="L83" s="45"/>
      <c r="M83" s="45"/>
      <c r="Q83" s="17" t="s">
        <v>6</v>
      </c>
      <c r="R83" s="17" t="s">
        <v>30</v>
      </c>
      <c r="S83" s="2"/>
      <c r="T83" s="2"/>
      <c r="U83" s="2"/>
      <c r="V83" s="2"/>
      <c r="W83" s="2"/>
      <c r="X83" s="2"/>
      <c r="Y83" s="2"/>
      <c r="Z83" s="2"/>
      <c r="AA83" s="2"/>
      <c r="AB83" s="2"/>
      <c r="AC83" s="2"/>
      <c r="AO83" s="24"/>
      <c r="AP83" s="24"/>
      <c r="AQ83" s="24"/>
      <c r="AR83" s="24"/>
      <c r="AS83" s="24"/>
      <c r="AT83" s="24"/>
      <c r="AU83" s="24"/>
      <c r="AV83" s="24"/>
      <c r="AW83" s="24"/>
      <c r="AX83" s="24"/>
    </row>
    <row r="84" spans="1:50">
      <c r="A84" s="17" t="s">
        <v>7</v>
      </c>
      <c r="B84" s="17" t="s">
        <v>30</v>
      </c>
      <c r="C84" s="48"/>
      <c r="D84" s="45"/>
      <c r="E84" s="45"/>
      <c r="F84" s="45"/>
      <c r="G84" s="45"/>
      <c r="H84" s="45"/>
      <c r="I84" s="45"/>
      <c r="J84" s="45"/>
      <c r="K84" s="45"/>
      <c r="L84" s="45"/>
      <c r="M84" s="45"/>
      <c r="Q84" s="17" t="s">
        <v>7</v>
      </c>
      <c r="R84" s="17" t="s">
        <v>30</v>
      </c>
      <c r="S84" s="48"/>
      <c r="T84" s="48"/>
      <c r="U84" s="48"/>
      <c r="V84" s="48"/>
      <c r="W84" s="48"/>
      <c r="X84" s="48"/>
      <c r="Y84" s="48"/>
      <c r="Z84" s="48"/>
      <c r="AA84" s="48"/>
      <c r="AB84" s="48"/>
      <c r="AC84" s="48"/>
      <c r="AO84" s="24"/>
      <c r="AP84" s="24"/>
      <c r="AQ84" s="24"/>
      <c r="AR84" s="24"/>
      <c r="AS84" s="24"/>
      <c r="AT84" s="24"/>
      <c r="AU84" s="24"/>
      <c r="AV84" s="24"/>
      <c r="AW84" s="24"/>
      <c r="AX84" s="24"/>
    </row>
    <row r="85" spans="1:50">
      <c r="A85" s="17" t="s">
        <v>8</v>
      </c>
      <c r="B85" s="17" t="s">
        <v>30</v>
      </c>
      <c r="C85" s="48">
        <f>'[39]4. Assets (RAB)'!D$60</f>
        <v>-12102.240000889895</v>
      </c>
      <c r="D85" s="48">
        <f>'[39]4. Assets (RAB)'!E$60</f>
        <v>-12777.809205888168</v>
      </c>
      <c r="E85" s="48">
        <f>'[39]4. Assets (RAB)'!F$60</f>
        <v>-13408.991549497663</v>
      </c>
      <c r="F85" s="48">
        <f>'[39]4. Assets (RAB)'!G$60</f>
        <v>-14378.81241990606</v>
      </c>
      <c r="G85" s="48">
        <f>'[39]4. Assets (RAB)'!H$60</f>
        <v>-15219.225210381388</v>
      </c>
      <c r="H85" s="48">
        <f>'[39]4. Assets (RAB)'!I$60</f>
        <v>-17134.614196378083</v>
      </c>
      <c r="I85" s="48">
        <f>'[39]4. Assets (RAB)'!J$60</f>
        <v>-18368.818175941691</v>
      </c>
      <c r="J85" s="48">
        <f>'[39]4. Assets (RAB)'!K$60</f>
        <v>-20098.4381850192</v>
      </c>
      <c r="K85" s="45">
        <f>'[40]3.3 Assets (RAB)'!$E$65</f>
        <v>-21396.582981822205</v>
      </c>
      <c r="L85" s="45">
        <f>'[41]3.3 Assets (RAB)'!$E$65/1000</f>
        <v>-22948.63501244424</v>
      </c>
      <c r="M85" s="45">
        <f>'[42]3.3 Assets (RAB)'!$C$63/1000</f>
        <v>-17550.050350000001</v>
      </c>
      <c r="Q85" s="17" t="s">
        <v>8</v>
      </c>
      <c r="R85" s="17" t="s">
        <v>30</v>
      </c>
      <c r="S85" s="45">
        <f>(C$51/100)*C85</f>
        <v>-829.93014198011053</v>
      </c>
      <c r="T85" s="45">
        <f t="shared" ref="T85" si="77">(D$51/100)*D85</f>
        <v>-844.97380854093262</v>
      </c>
      <c r="U85" s="45">
        <f t="shared" ref="U85" si="78">(E$51/100)*E85</f>
        <v>-890.88385279120303</v>
      </c>
      <c r="V85" s="45">
        <f t="shared" ref="V85" si="79">(F$51/100)*F85</f>
        <v>-979.72244385214117</v>
      </c>
      <c r="W85" s="45">
        <f t="shared" ref="W85" si="80">(G$51/100)*G85</f>
        <v>-1035.5869200912646</v>
      </c>
      <c r="X85" s="45">
        <f t="shared" ref="X85" si="81">(H$51/100)*H85</f>
        <v>-1170.2019225114882</v>
      </c>
      <c r="Y85" s="45">
        <f t="shared" ref="Y85" si="82">(I$51/100)*I85</f>
        <v>-1195.8152406946836</v>
      </c>
      <c r="Z85" s="45">
        <f t="shared" ref="Z85" si="83">(J$51/100)*J85</f>
        <v>-1269.959536304586</v>
      </c>
      <c r="AA85" s="45">
        <f t="shared" ref="AA85" si="84">(K$51/100)*K85</f>
        <v>-1226.3494751594085</v>
      </c>
      <c r="AB85" s="45">
        <f t="shared" ref="AB85:AC85" si="85">(L$51/100)*L85</f>
        <v>-1200.154235204089</v>
      </c>
      <c r="AC85" s="45">
        <f t="shared" si="85"/>
        <v>-920.80705134958248</v>
      </c>
      <c r="AO85" s="24"/>
      <c r="AP85" s="24"/>
      <c r="AQ85" s="24"/>
      <c r="AR85" s="24"/>
      <c r="AS85" s="24"/>
      <c r="AT85" s="24"/>
      <c r="AU85" s="24"/>
      <c r="AV85" s="24"/>
      <c r="AW85" s="24"/>
      <c r="AX85" s="24"/>
    </row>
    <row r="86" spans="1:50">
      <c r="A86" s="17" t="s">
        <v>73</v>
      </c>
      <c r="B86" s="17" t="s">
        <v>30</v>
      </c>
      <c r="C86" s="48"/>
      <c r="D86" s="45"/>
      <c r="E86" s="45"/>
      <c r="F86" s="45"/>
      <c r="G86" s="45"/>
      <c r="H86" s="45"/>
      <c r="I86" s="45"/>
      <c r="J86" s="45"/>
      <c r="K86" s="45"/>
      <c r="L86" s="45"/>
      <c r="M86" s="45"/>
      <c r="Q86" s="17" t="s">
        <v>73</v>
      </c>
      <c r="R86" s="17" t="s">
        <v>30</v>
      </c>
      <c r="S86" s="48"/>
      <c r="T86" s="45"/>
      <c r="U86" s="45"/>
      <c r="V86" s="45"/>
      <c r="W86" s="45"/>
      <c r="X86" s="45"/>
      <c r="Y86" s="45"/>
      <c r="Z86" s="45"/>
      <c r="AA86" s="45"/>
      <c r="AB86" s="45"/>
      <c r="AC86" s="45"/>
      <c r="AO86" s="24"/>
      <c r="AP86" s="24"/>
      <c r="AQ86" s="24"/>
      <c r="AR86" s="24"/>
      <c r="AS86" s="24"/>
      <c r="AT86" s="24"/>
      <c r="AU86" s="24"/>
      <c r="AV86" s="24"/>
      <c r="AW86" s="24"/>
      <c r="AX86" s="24"/>
    </row>
    <row r="87" spans="1:50">
      <c r="A87" s="17" t="s">
        <v>54</v>
      </c>
      <c r="B87" s="17" t="s">
        <v>30</v>
      </c>
      <c r="C87" s="48"/>
      <c r="D87" s="45"/>
      <c r="E87" s="45"/>
      <c r="F87" s="45"/>
      <c r="G87" s="45"/>
      <c r="H87" s="45"/>
      <c r="I87" s="45"/>
      <c r="J87" s="45"/>
      <c r="K87" s="45"/>
      <c r="L87" s="45"/>
      <c r="M87" s="45"/>
      <c r="Q87" s="17" t="s">
        <v>54</v>
      </c>
      <c r="R87" s="17" t="s">
        <v>30</v>
      </c>
      <c r="S87" s="48"/>
      <c r="T87" s="45"/>
      <c r="U87" s="45"/>
      <c r="V87" s="45"/>
      <c r="W87" s="45"/>
      <c r="X87" s="45"/>
      <c r="Y87" s="45"/>
      <c r="Z87" s="45"/>
      <c r="AA87" s="45"/>
      <c r="AB87" s="45"/>
      <c r="AC87" s="45"/>
      <c r="AO87" s="24"/>
      <c r="AP87" s="24"/>
      <c r="AQ87" s="24"/>
      <c r="AR87" s="24"/>
      <c r="AS87" s="24"/>
      <c r="AT87" s="24"/>
      <c r="AU87" s="24"/>
      <c r="AV87" s="24"/>
      <c r="AW87" s="24"/>
      <c r="AX87" s="24"/>
    </row>
    <row r="88" spans="1:50">
      <c r="A88" s="17" t="s">
        <v>9</v>
      </c>
      <c r="B88" s="17" t="s">
        <v>30</v>
      </c>
      <c r="C88" s="45"/>
      <c r="D88" s="45"/>
      <c r="E88" s="45"/>
      <c r="F88" s="45"/>
      <c r="G88" s="45"/>
      <c r="H88" s="45"/>
      <c r="I88" s="45"/>
      <c r="J88" s="45"/>
      <c r="K88" s="45"/>
      <c r="L88" s="45"/>
      <c r="M88" s="45"/>
      <c r="Q88" s="17" t="s">
        <v>9</v>
      </c>
      <c r="R88" s="17" t="s">
        <v>30</v>
      </c>
      <c r="S88" s="45"/>
      <c r="T88" s="45"/>
      <c r="U88" s="45"/>
      <c r="V88" s="45"/>
      <c r="W88" s="45"/>
      <c r="X88" s="45"/>
      <c r="Y88" s="45"/>
      <c r="Z88" s="45"/>
      <c r="AA88" s="45"/>
      <c r="AB88" s="45"/>
      <c r="AC88" s="45"/>
      <c r="AO88" s="24"/>
      <c r="AP88" s="24"/>
      <c r="AQ88" s="24"/>
      <c r="AR88" s="24"/>
      <c r="AS88" s="24"/>
      <c r="AT88" s="24"/>
      <c r="AU88" s="24"/>
      <c r="AV88" s="24"/>
      <c r="AW88" s="24"/>
      <c r="AX88" s="24"/>
    </row>
    <row r="89" spans="1:50">
      <c r="Q89" s="2"/>
      <c r="R89" s="2"/>
      <c r="S89" s="2"/>
      <c r="T89" s="2"/>
      <c r="U89" s="2"/>
      <c r="V89" s="2"/>
      <c r="W89" s="2"/>
      <c r="X89" s="2"/>
      <c r="Y89" s="2"/>
      <c r="Z89" s="2"/>
      <c r="AA89" s="2"/>
      <c r="AB89" s="2"/>
      <c r="AC89" s="2"/>
    </row>
    <row r="90" spans="1:50" s="23" customFormat="1">
      <c r="A90" s="41" t="s">
        <v>152</v>
      </c>
      <c r="L90" s="100"/>
      <c r="M90" s="100"/>
      <c r="Q90" s="41" t="s">
        <v>155</v>
      </c>
      <c r="AB90" s="100"/>
    </row>
    <row r="91" spans="1:50">
      <c r="A91" s="85" t="s">
        <v>99</v>
      </c>
      <c r="B91" s="2"/>
      <c r="C91" s="2"/>
      <c r="D91" s="2"/>
      <c r="E91" s="2"/>
      <c r="F91" s="2"/>
      <c r="G91" s="2"/>
      <c r="H91" s="2"/>
      <c r="I91" s="2"/>
      <c r="J91" s="2"/>
      <c r="K91" s="2"/>
      <c r="L91" s="2"/>
      <c r="Q91" s="85" t="s">
        <v>99</v>
      </c>
      <c r="R91" s="2"/>
      <c r="S91" s="2"/>
      <c r="T91" s="2"/>
      <c r="U91" s="2"/>
      <c r="V91" s="2"/>
      <c r="W91" s="2"/>
      <c r="X91" s="2"/>
      <c r="Y91" s="2"/>
      <c r="Z91" s="2"/>
      <c r="AA91" s="2"/>
      <c r="AB91" s="2"/>
      <c r="AC91" s="2"/>
    </row>
    <row r="92" spans="1:50">
      <c r="A92" s="2"/>
      <c r="B92" s="2"/>
      <c r="C92" s="2">
        <v>2006</v>
      </c>
      <c r="D92" s="2">
        <v>2007</v>
      </c>
      <c r="E92" s="2">
        <v>2008</v>
      </c>
      <c r="F92" s="2">
        <v>2009</v>
      </c>
      <c r="G92" s="2">
        <v>2010</v>
      </c>
      <c r="H92" s="2">
        <v>2011</v>
      </c>
      <c r="I92" s="2">
        <v>2012</v>
      </c>
      <c r="J92" s="2">
        <v>2013</v>
      </c>
      <c r="K92" s="2">
        <v>2014</v>
      </c>
      <c r="L92" s="2">
        <v>2015</v>
      </c>
      <c r="Q92" s="2"/>
      <c r="R92" s="2"/>
      <c r="S92" s="2">
        <v>2006</v>
      </c>
      <c r="T92" s="2">
        <v>2007</v>
      </c>
      <c r="U92" s="2">
        <v>2008</v>
      </c>
      <c r="V92" s="2">
        <v>2009</v>
      </c>
      <c r="W92" s="2">
        <v>2010</v>
      </c>
      <c r="X92" s="2">
        <v>2011</v>
      </c>
      <c r="Y92" s="2">
        <v>2012</v>
      </c>
      <c r="Z92" s="2">
        <v>2013</v>
      </c>
      <c r="AA92" s="2">
        <v>2014</v>
      </c>
      <c r="AB92" s="2">
        <v>2015</v>
      </c>
      <c r="AC92" s="2"/>
      <c r="AO92" s="2"/>
      <c r="AP92" s="2"/>
      <c r="AQ92" s="2"/>
      <c r="AR92" s="2"/>
      <c r="AS92" s="2"/>
      <c r="AT92" s="2"/>
      <c r="AU92" s="2"/>
      <c r="AV92" s="2"/>
      <c r="AW92" s="2"/>
      <c r="AX92" s="2"/>
    </row>
    <row r="93" spans="1:50">
      <c r="A93" s="17" t="s">
        <v>1</v>
      </c>
      <c r="B93" s="17" t="s">
        <v>30</v>
      </c>
      <c r="C93" s="45"/>
      <c r="D93" s="45"/>
      <c r="E93" s="45"/>
      <c r="F93" s="45"/>
      <c r="G93" s="45"/>
      <c r="H93" s="45"/>
      <c r="I93" s="45"/>
      <c r="J93" s="45"/>
      <c r="K93" s="45"/>
      <c r="L93" s="45"/>
      <c r="M93" s="94"/>
      <c r="Q93" s="17" t="s">
        <v>1</v>
      </c>
      <c r="R93" s="17" t="s">
        <v>30</v>
      </c>
      <c r="S93" s="45"/>
      <c r="T93" s="45"/>
      <c r="U93" s="45"/>
      <c r="V93" s="45"/>
      <c r="W93" s="45"/>
      <c r="X93" s="45"/>
      <c r="Y93" s="45"/>
      <c r="Z93" s="45"/>
      <c r="AA93" s="45"/>
      <c r="AB93" s="45"/>
      <c r="AC93" s="2"/>
      <c r="AO93" s="24"/>
      <c r="AP93" s="24"/>
      <c r="AQ93" s="24"/>
      <c r="AR93" s="24"/>
      <c r="AS93" s="24"/>
      <c r="AT93" s="24"/>
      <c r="AU93" s="24"/>
      <c r="AV93" s="24"/>
      <c r="AW93" s="24"/>
      <c r="AX93" s="24"/>
    </row>
    <row r="94" spans="1:50">
      <c r="A94" s="17" t="s">
        <v>78</v>
      </c>
      <c r="B94" s="17" t="s">
        <v>30</v>
      </c>
      <c r="C94" s="45">
        <f>'[7]4. Assets (RAB)'!D$62</f>
        <v>123311.99099999999</v>
      </c>
      <c r="D94" s="45">
        <f>'[7]4. Assets (RAB)'!E$62</f>
        <v>198411.74100000001</v>
      </c>
      <c r="E94" s="45">
        <f>'[7]4. Assets (RAB)'!F$62</f>
        <v>226429.87400000001</v>
      </c>
      <c r="F94" s="45">
        <f>'[7]4. Assets (RAB)'!G$62</f>
        <v>335609.30800000002</v>
      </c>
      <c r="G94" s="45">
        <f>'[7]4. Assets (RAB)'!H$62</f>
        <v>317411.55499999999</v>
      </c>
      <c r="H94" s="45">
        <f>'[7]4. Assets (RAB)'!I$62</f>
        <v>356481.49200000003</v>
      </c>
      <c r="I94" s="45">
        <f>'[7]4. Assets (RAB)'!J$62</f>
        <v>375601.511</v>
      </c>
      <c r="J94" s="45">
        <f>'[7]4. Assets (RAB)'!K$62</f>
        <v>276231.38299999997</v>
      </c>
      <c r="K94" s="45">
        <f>'[8]3.3 Assets (RAB)'!$E$67</f>
        <v>117538.46053862512</v>
      </c>
      <c r="L94" s="45">
        <f>'[9]3.3 Assets (RAB)'!$E$67</f>
        <v>105920.1219131853</v>
      </c>
      <c r="M94" s="94"/>
      <c r="Q94" s="17" t="s">
        <v>78</v>
      </c>
      <c r="R94" s="17" t="s">
        <v>30</v>
      </c>
      <c r="S94" s="45">
        <f>(C$43/100)*C94</f>
        <v>48083.359885009944</v>
      </c>
      <c r="T94" s="45">
        <f t="shared" ref="T94" si="86">(D$43/100)*D94</f>
        <v>75602.06804957347</v>
      </c>
      <c r="U94" s="45">
        <f t="shared" ref="U94" si="87">(E$43/100)*E94</f>
        <v>84215.595455693721</v>
      </c>
      <c r="V94" s="45">
        <f t="shared" ref="V94" si="88">(F$43/100)*F94</f>
        <v>118863.09173154924</v>
      </c>
      <c r="W94" s="45">
        <f t="shared" ref="W94" si="89">(G$43/100)*G94</f>
        <v>107323.88755171956</v>
      </c>
      <c r="X94" s="45">
        <f t="shared" ref="X94" si="90">(H$43/100)*H94</f>
        <v>120584.15735210665</v>
      </c>
      <c r="Y94" s="45">
        <f t="shared" ref="Y94" si="91">(I$43/100)*I94</f>
        <v>120442.95740003327</v>
      </c>
      <c r="Z94" s="45">
        <f t="shared" ref="Z94" si="92">(J$43/100)*J94</f>
        <v>85628.404645968709</v>
      </c>
      <c r="AA94" s="45">
        <f t="shared" ref="AA94" si="93">(K$43/100)*K94</f>
        <v>36147.349866609802</v>
      </c>
      <c r="AB94" s="45">
        <f t="shared" ref="AB94" si="94">(L$43/100)*L94</f>
        <v>32066.586453760599</v>
      </c>
      <c r="AC94" s="2"/>
      <c r="AO94" s="24"/>
      <c r="AP94" s="24"/>
      <c r="AQ94" s="24"/>
      <c r="AR94" s="24"/>
      <c r="AS94" s="24"/>
      <c r="AT94" s="24"/>
      <c r="AU94" s="24"/>
      <c r="AV94" s="24"/>
      <c r="AW94" s="24"/>
      <c r="AX94" s="24"/>
    </row>
    <row r="95" spans="1:50">
      <c r="A95" s="17" t="s">
        <v>2</v>
      </c>
      <c r="B95" s="17" t="s">
        <v>30</v>
      </c>
      <c r="C95" s="45"/>
      <c r="D95" s="45"/>
      <c r="E95" s="45"/>
      <c r="F95" s="45"/>
      <c r="G95" s="45"/>
      <c r="H95" s="45"/>
      <c r="I95" s="45"/>
      <c r="J95" s="45"/>
      <c r="K95" s="45"/>
      <c r="L95" s="45"/>
      <c r="M95" s="94"/>
      <c r="Q95" s="17" t="s">
        <v>2</v>
      </c>
      <c r="R95" s="17" t="s">
        <v>30</v>
      </c>
      <c r="S95" s="45"/>
      <c r="T95" s="45"/>
      <c r="U95" s="45"/>
      <c r="V95" s="45"/>
      <c r="W95" s="45"/>
      <c r="X95" s="45"/>
      <c r="Y95" s="45"/>
      <c r="Z95" s="45"/>
      <c r="AA95" s="45"/>
      <c r="AB95" s="45"/>
      <c r="AC95" s="2"/>
      <c r="AO95" s="24"/>
      <c r="AP95" s="24"/>
      <c r="AQ95" s="24"/>
      <c r="AR95" s="24"/>
      <c r="AS95" s="24"/>
      <c r="AT95" s="24"/>
      <c r="AU95" s="24"/>
      <c r="AV95" s="24"/>
      <c r="AW95" s="24"/>
      <c r="AX95" s="24"/>
    </row>
    <row r="96" spans="1:50">
      <c r="A96" s="17" t="s">
        <v>3</v>
      </c>
      <c r="B96" s="17" t="s">
        <v>30</v>
      </c>
      <c r="C96" s="45">
        <f>'[15]4. Assets (RAB)'!D$62</f>
        <v>133553.54264626466</v>
      </c>
      <c r="D96" s="45">
        <f>'[15]4. Assets (RAB)'!E$62</f>
        <v>180853.48711749082</v>
      </c>
      <c r="E96" s="45">
        <f>'[15]4. Assets (RAB)'!F$62</f>
        <v>151855.09123231965</v>
      </c>
      <c r="F96" s="45">
        <f>'[15]4. Assets (RAB)'!G$62</f>
        <v>252156.54749039109</v>
      </c>
      <c r="G96" s="45">
        <f>'[15]4. Assets (RAB)'!H$62</f>
        <v>206821.02120003721</v>
      </c>
      <c r="H96" s="45">
        <f>'[15]4. Assets (RAB)'!I$62</f>
        <v>263663.73018478643</v>
      </c>
      <c r="I96" s="45">
        <f>'[15]4. Assets (RAB)'!J$62</f>
        <v>381455.99197524646</v>
      </c>
      <c r="J96" s="45">
        <f>'[15]4. Assets (RAB)'!K$62</f>
        <v>303856.06917688518</v>
      </c>
      <c r="K96" s="45">
        <f>'[16]3.3 Assets (RAB)'!$E$67</f>
        <v>174489.12645528288</v>
      </c>
      <c r="L96" s="45">
        <f>'[17]3.3 Assets (RAB)'!$E$67/1000</f>
        <v>131730.86011726261</v>
      </c>
      <c r="M96" s="94"/>
      <c r="Q96" s="17" t="s">
        <v>3</v>
      </c>
      <c r="R96" s="17" t="s">
        <v>30</v>
      </c>
      <c r="S96" s="45">
        <f>(C$45/100)*C96</f>
        <v>54983.287487549373</v>
      </c>
      <c r="T96" s="45">
        <f t="shared" ref="T96" si="95">(D$45/100)*D96</f>
        <v>75376.737507943792</v>
      </c>
      <c r="U96" s="45">
        <f t="shared" ref="U96" si="96">(E$45/100)*E96</f>
        <v>63536.542160031531</v>
      </c>
      <c r="V96" s="45">
        <f t="shared" ref="V96" si="97">(F$45/100)*F96</f>
        <v>105843.14556175975</v>
      </c>
      <c r="W96" s="45">
        <f t="shared" ref="W96" si="98">(G$45/100)*G96</f>
        <v>86297.142635739088</v>
      </c>
      <c r="X96" s="45">
        <f t="shared" ref="X96" si="99">(H$45/100)*H96</f>
        <v>109891.9019015308</v>
      </c>
      <c r="Y96" s="45">
        <f t="shared" ref="Y96" si="100">(I$45/100)*I96</f>
        <v>159852.21577762629</v>
      </c>
      <c r="Z96" s="45">
        <f t="shared" ref="Z96" si="101">(J$45/100)*J96</f>
        <v>122659.70810500014</v>
      </c>
      <c r="AA96" s="45">
        <f t="shared" ref="AA96" si="102">(K$45/100)*K96</f>
        <v>62960.872801788981</v>
      </c>
      <c r="AB96" s="45">
        <f t="shared" ref="AB96" si="103">(L$45/100)*L96</f>
        <v>47243.324952395698</v>
      </c>
      <c r="AC96" s="2"/>
      <c r="AO96" s="24"/>
      <c r="AP96" s="24"/>
      <c r="AQ96" s="24"/>
      <c r="AR96" s="24"/>
      <c r="AS96" s="24"/>
      <c r="AT96" s="24"/>
      <c r="AU96" s="24"/>
      <c r="AV96" s="24"/>
      <c r="AW96" s="24"/>
      <c r="AX96" s="24"/>
    </row>
    <row r="97" spans="1:50">
      <c r="A97" s="17" t="s">
        <v>4</v>
      </c>
      <c r="B97" s="17" t="s">
        <v>30</v>
      </c>
      <c r="C97" s="45">
        <f>'[19]4. Assets (RAB)'!D$62</f>
        <v>148742.95554750488</v>
      </c>
      <c r="D97" s="45">
        <f>'[19]4. Assets (RAB)'!E$62</f>
        <v>146953.45324439832</v>
      </c>
      <c r="E97" s="45">
        <f>'[19]4. Assets (RAB)'!F$62</f>
        <v>148015.10291700094</v>
      </c>
      <c r="F97" s="45">
        <f>'[19]4. Assets (RAB)'!G$62</f>
        <v>210145.04540925846</v>
      </c>
      <c r="G97" s="45">
        <f>'[19]4. Assets (RAB)'!H$62</f>
        <v>290168.07696310466</v>
      </c>
      <c r="H97" s="45">
        <f>'[19]4. Assets (RAB)'!I$62</f>
        <v>230906.02437936713</v>
      </c>
      <c r="I97" s="45">
        <f>'[19]4. Assets (RAB)'!J$62</f>
        <v>232129.69317845962</v>
      </c>
      <c r="J97" s="45">
        <f>'[19]4. Assets (RAB)'!K$62</f>
        <v>194383.34269530061</v>
      </c>
      <c r="K97" s="45">
        <f>'[20]3.3 Assets (RAB)'!$E$67</f>
        <v>212809.01233654172</v>
      </c>
      <c r="L97" s="45">
        <f>'[21]3.3 Assets (RAB)'!$E$67/1000</f>
        <v>15001.303374446496</v>
      </c>
      <c r="M97" s="94"/>
      <c r="Q97" s="17" t="s">
        <v>4</v>
      </c>
      <c r="R97" s="17" t="s">
        <v>30</v>
      </c>
      <c r="S97" s="45">
        <f>(C$46/100)*C97</f>
        <v>57851.707832826862</v>
      </c>
      <c r="T97" s="45">
        <f t="shared" ref="T97" si="104">(D$46/100)*D97</f>
        <v>58536.095875498111</v>
      </c>
      <c r="U97" s="45">
        <f t="shared" ref="U97" si="105">(E$46/100)*E97</f>
        <v>59584.386035502022</v>
      </c>
      <c r="V97" s="45">
        <f t="shared" ref="V97" si="106">(F$46/100)*F97</f>
        <v>83388.498800733068</v>
      </c>
      <c r="W97" s="45">
        <f t="shared" ref="W97" si="107">(G$46/100)*G97</f>
        <v>114927.41261939892</v>
      </c>
      <c r="X97" s="45">
        <f t="shared" ref="X97" si="108">(H$46/100)*H97</f>
        <v>92463.858033221346</v>
      </c>
      <c r="Y97" s="45">
        <f t="shared" ref="Y97" si="109">(I$46/100)*I97</f>
        <v>93428.778339704921</v>
      </c>
      <c r="Z97" s="45">
        <f t="shared" ref="Z97" si="110">(J$46/100)*J97</f>
        <v>77118.418550393922</v>
      </c>
      <c r="AA97" s="45">
        <f t="shared" ref="AA97" si="111">(K$46/100)*K97</f>
        <v>85062.467509107475</v>
      </c>
      <c r="AB97" s="45">
        <f t="shared" ref="AB97" si="112">(L$46/100)*L97</f>
        <v>5756.9442965508733</v>
      </c>
      <c r="AC97" s="2"/>
      <c r="AO97" s="24"/>
      <c r="AP97" s="24"/>
      <c r="AQ97" s="24"/>
      <c r="AR97" s="24"/>
      <c r="AS97" s="24"/>
      <c r="AT97" s="24"/>
      <c r="AU97" s="24"/>
      <c r="AV97" s="24"/>
      <c r="AW97" s="24"/>
      <c r="AX97" s="24"/>
    </row>
    <row r="98" spans="1:50">
      <c r="A98" s="17" t="s">
        <v>10</v>
      </c>
      <c r="B98" s="17" t="s">
        <v>30</v>
      </c>
      <c r="C98" s="48">
        <f>'[23]4. Assets (RAB)'!D$62</f>
        <v>62884.434727333472</v>
      </c>
      <c r="D98" s="48">
        <f>'[23]4. Assets (RAB)'!E$62</f>
        <v>100886.18352328635</v>
      </c>
      <c r="E98" s="48">
        <f>'[23]4. Assets (RAB)'!F$62</f>
        <v>168389.4943956816</v>
      </c>
      <c r="F98" s="48">
        <f>'[23]4. Assets (RAB)'!G$62</f>
        <v>198313.10830478623</v>
      </c>
      <c r="G98" s="48">
        <f>'[23]4. Assets (RAB)'!H$62</f>
        <v>139216.75340342423</v>
      </c>
      <c r="H98" s="48">
        <f>'[23]4. Assets (RAB)'!I$62</f>
        <v>100868.5441201754</v>
      </c>
      <c r="I98" s="48">
        <f>'[23]4. Assets (RAB)'!J$62</f>
        <v>111000.41643730088</v>
      </c>
      <c r="J98" s="48">
        <f>'[23]4. Assets (RAB)'!K$62</f>
        <v>96102.267318772385</v>
      </c>
      <c r="K98" s="45">
        <f>'[24]3.3 Assets (RAB)'!$E$67</f>
        <v>135281.38837406263</v>
      </c>
      <c r="L98" s="45">
        <f>'[25]3.3 Assets (RAB)'!$E$67/1000</f>
        <v>177187.26685070587</v>
      </c>
      <c r="M98" s="94"/>
      <c r="Q98" s="17" t="s">
        <v>10</v>
      </c>
      <c r="R98" s="17" t="s">
        <v>30</v>
      </c>
      <c r="S98" s="45">
        <f>(C$47/100)*C98</f>
        <v>23247.860304206581</v>
      </c>
      <c r="T98" s="45">
        <f t="shared" ref="T98" si="113">(D$47/100)*D98</f>
        <v>37530.487785871977</v>
      </c>
      <c r="U98" s="45">
        <f t="shared" ref="U98" si="114">(E$47/100)*E98</f>
        <v>62659.811466313527</v>
      </c>
      <c r="V98" s="45">
        <f t="shared" ref="V98" si="115">(F$47/100)*F98</f>
        <v>73113.377575264327</v>
      </c>
      <c r="W98" s="45">
        <f t="shared" ref="W98" si="116">(G$47/100)*G98</f>
        <v>48441.81521246567</v>
      </c>
      <c r="X98" s="45">
        <f t="shared" ref="X98" si="117">(H$47/100)*H98</f>
        <v>35517.722348586169</v>
      </c>
      <c r="Y98" s="45">
        <f t="shared" ref="Y98" si="118">(I$47/100)*I98</f>
        <v>39739.847273905478</v>
      </c>
      <c r="Z98" s="45">
        <f t="shared" ref="Z98" si="119">(J$47/100)*J98</f>
        <v>35352.772234006894</v>
      </c>
      <c r="AA98" s="45">
        <f t="shared" ref="AA98" si="120">(K$47/100)*K98</f>
        <v>46795.536665522297</v>
      </c>
      <c r="AB98" s="45">
        <f t="shared" ref="AB98" si="121">(L$47/100)*L98</f>
        <v>62706.193022225612</v>
      </c>
      <c r="AC98" s="2"/>
      <c r="AO98" s="24"/>
      <c r="AP98" s="24"/>
      <c r="AQ98" s="24"/>
      <c r="AR98" s="24"/>
      <c r="AS98" s="24"/>
      <c r="AT98" s="24"/>
      <c r="AU98" s="24"/>
      <c r="AV98" s="24"/>
      <c r="AW98" s="24"/>
      <c r="AX98" s="24"/>
    </row>
    <row r="99" spans="1:50">
      <c r="A99" s="17" t="s">
        <v>5</v>
      </c>
      <c r="B99" s="17" t="s">
        <v>30</v>
      </c>
      <c r="C99" s="48">
        <f>'[27]4. Assets (RAB)'!D$62</f>
        <v>59524.782312736359</v>
      </c>
      <c r="D99" s="48">
        <f>'[27]4. Assets (RAB)'!E$62</f>
        <v>144660.23478967216</v>
      </c>
      <c r="E99" s="48">
        <f>'[27]4. Assets (RAB)'!F$62</f>
        <v>151344.40888558581</v>
      </c>
      <c r="F99" s="48">
        <f>'[27]4. Assets (RAB)'!G$62</f>
        <v>104032.53313639457</v>
      </c>
      <c r="G99" s="48">
        <f>'[27]4. Assets (RAB)'!H$62</f>
        <v>107038.93175966028</v>
      </c>
      <c r="H99" s="48">
        <f>'[27]4. Assets (RAB)'!I$62</f>
        <v>105599.23995386713</v>
      </c>
      <c r="I99" s="48">
        <f>'[27]4. Assets (RAB)'!J$62</f>
        <v>133752.3695468338</v>
      </c>
      <c r="J99" s="48">
        <f>'[27]4. Assets (RAB)'!K$62</f>
        <v>117685.61857178595</v>
      </c>
      <c r="K99" s="101">
        <f>'[28]3.3 Assets (RAB)'!$E$67</f>
        <v>109190.27092471269</v>
      </c>
      <c r="L99" s="45">
        <f>'[29]3.3 Assets (RAB)'!$E$67</f>
        <v>74718.670339066739</v>
      </c>
      <c r="M99" s="94"/>
      <c r="Q99" s="17" t="s">
        <v>5</v>
      </c>
      <c r="R99" s="17" t="s">
        <v>30</v>
      </c>
      <c r="S99" s="45">
        <f>(C$48/100)*C99</f>
        <v>11359.255189553969</v>
      </c>
      <c r="T99" s="45">
        <f t="shared" ref="T99" si="122">(D$48/100)*D99</f>
        <v>27344.548572136067</v>
      </c>
      <c r="U99" s="45">
        <f t="shared" ref="U99" si="123">(E$48/100)*E99</f>
        <v>29412.927148815837</v>
      </c>
      <c r="V99" s="45">
        <f t="shared" ref="V99" si="124">(F$48/100)*F99</f>
        <v>19860.74157504255</v>
      </c>
      <c r="W99" s="45">
        <f t="shared" ref="W99" si="125">(G$48/100)*G99</f>
        <v>19563.31966948192</v>
      </c>
      <c r="X99" s="45">
        <f t="shared" ref="X99" si="126">(H$48/100)*H99</f>
        <v>19821.258869600657</v>
      </c>
      <c r="Y99" s="45">
        <f t="shared" ref="Y99" si="127">(I$48/100)*I99</f>
        <v>24674.760544796267</v>
      </c>
      <c r="Z99" s="45">
        <f t="shared" ref="Z99" si="128">(J$48/100)*J99</f>
        <v>21837.936558137375</v>
      </c>
      <c r="AA99" s="45">
        <f t="shared" ref="AA99" si="129">(K$48/100)*K99</f>
        <v>20805.097585914802</v>
      </c>
      <c r="AB99" s="45">
        <f t="shared" ref="AB99" si="130">(L$48/100)*L99</f>
        <v>14094.368155770173</v>
      </c>
      <c r="AC99" s="2"/>
      <c r="AO99" s="24"/>
      <c r="AP99" s="24"/>
      <c r="AQ99" s="24"/>
      <c r="AR99" s="24"/>
      <c r="AS99" s="24"/>
      <c r="AT99" s="24"/>
      <c r="AU99" s="24"/>
      <c r="AV99" s="24"/>
      <c r="AW99" s="24"/>
      <c r="AX99" s="24"/>
    </row>
    <row r="100" spans="1:50">
      <c r="A100" s="17" t="s">
        <v>6</v>
      </c>
      <c r="B100" s="17" t="s">
        <v>30</v>
      </c>
      <c r="C100" s="48"/>
      <c r="D100" s="45"/>
      <c r="E100" s="45"/>
      <c r="F100" s="45"/>
      <c r="G100" s="45"/>
      <c r="H100" s="45"/>
      <c r="I100" s="45"/>
      <c r="J100" s="45"/>
      <c r="K100" s="45"/>
      <c r="L100" s="45"/>
      <c r="M100" s="94"/>
      <c r="Q100" s="17" t="s">
        <v>6</v>
      </c>
      <c r="R100" s="17" t="s">
        <v>30</v>
      </c>
      <c r="S100" s="2"/>
      <c r="T100" s="2"/>
      <c r="U100" s="2"/>
      <c r="V100" s="2"/>
      <c r="W100" s="2"/>
      <c r="X100" s="2"/>
      <c r="Y100" s="2"/>
      <c r="Z100" s="2"/>
      <c r="AA100" s="2"/>
      <c r="AB100" s="2"/>
      <c r="AC100" s="2"/>
      <c r="AO100" s="24"/>
      <c r="AP100" s="24"/>
      <c r="AQ100" s="24"/>
      <c r="AR100" s="24"/>
      <c r="AS100" s="24"/>
      <c r="AT100" s="24"/>
      <c r="AU100" s="24"/>
      <c r="AV100" s="24"/>
      <c r="AW100" s="24"/>
      <c r="AX100" s="24"/>
    </row>
    <row r="101" spans="1:50">
      <c r="A101" s="17" t="s">
        <v>7</v>
      </c>
      <c r="B101" s="17" t="s">
        <v>30</v>
      </c>
      <c r="C101" s="48"/>
      <c r="D101" s="45"/>
      <c r="E101" s="45"/>
      <c r="F101" s="45"/>
      <c r="G101" s="45"/>
      <c r="H101" s="45"/>
      <c r="I101" s="45"/>
      <c r="J101" s="45"/>
      <c r="K101" s="45"/>
      <c r="L101" s="45"/>
      <c r="M101" s="94"/>
      <c r="Q101" s="17" t="s">
        <v>7</v>
      </c>
      <c r="R101" s="17" t="s">
        <v>30</v>
      </c>
      <c r="S101" s="48"/>
      <c r="T101" s="48"/>
      <c r="U101" s="48"/>
      <c r="V101" s="48"/>
      <c r="W101" s="48"/>
      <c r="X101" s="48"/>
      <c r="Y101" s="48"/>
      <c r="Z101" s="48"/>
      <c r="AA101" s="48"/>
      <c r="AB101" s="48"/>
      <c r="AC101" s="2"/>
      <c r="AO101" s="24"/>
      <c r="AP101" s="24"/>
      <c r="AQ101" s="24"/>
      <c r="AR101" s="24"/>
      <c r="AS101" s="24"/>
      <c r="AT101" s="24"/>
      <c r="AU101" s="24"/>
      <c r="AV101" s="24"/>
      <c r="AW101" s="24"/>
      <c r="AX101" s="24"/>
    </row>
    <row r="102" spans="1:50">
      <c r="A102" s="17" t="s">
        <v>8</v>
      </c>
      <c r="B102" s="17" t="s">
        <v>30</v>
      </c>
      <c r="C102" s="48">
        <f>'[39]4. Assets (RAB)'!D$62</f>
        <v>15364.0131882235</v>
      </c>
      <c r="D102" s="48">
        <f>'[39]4. Assets (RAB)'!E$62</f>
        <v>16836.470301735833</v>
      </c>
      <c r="E102" s="48">
        <f>'[39]4. Assets (RAB)'!F$62</f>
        <v>15597.378508367776</v>
      </c>
      <c r="F102" s="48">
        <f>'[39]4. Assets (RAB)'!G$62</f>
        <v>21196.038360091767</v>
      </c>
      <c r="G102" s="48">
        <f>'[39]4. Assets (RAB)'!H$62</f>
        <v>33121.494243795139</v>
      </c>
      <c r="H102" s="48">
        <f>'[39]4. Assets (RAB)'!I$62</f>
        <v>43619.888336964235</v>
      </c>
      <c r="I102" s="48">
        <f>'[39]4. Assets (RAB)'!J$62</f>
        <v>58907.846141001632</v>
      </c>
      <c r="J102" s="48">
        <f>'[39]4. Assets (RAB)'!K$62</f>
        <v>44790.267333014512</v>
      </c>
      <c r="K102" s="45">
        <f>'[40]3.3 Assets (RAB)'!$E$67</f>
        <v>43475.734353227235</v>
      </c>
      <c r="L102" s="45">
        <f>'[41]3.3 Assets (RAB)'!$E$67/1000</f>
        <v>38017.534063145024</v>
      </c>
      <c r="M102" s="94"/>
      <c r="Q102" s="17" t="s">
        <v>8</v>
      </c>
      <c r="R102" s="17" t="s">
        <v>30</v>
      </c>
      <c r="S102" s="45">
        <f>(C$51/100)*C102</f>
        <v>1053.6113682879381</v>
      </c>
      <c r="T102" s="45">
        <f t="shared" ref="T102" si="131">(D$51/100)*D102</f>
        <v>1113.3658520028885</v>
      </c>
      <c r="U102" s="45">
        <f t="shared" ref="U102" si="132">(E$51/100)*E102</f>
        <v>1036.2787244427752</v>
      </c>
      <c r="V102" s="45">
        <f t="shared" ref="V102" si="133">(F$51/100)*F102</f>
        <v>1444.2245921077608</v>
      </c>
      <c r="W102" s="45">
        <f t="shared" ref="W102" si="134">(G$51/100)*G102</f>
        <v>2253.7406299339996</v>
      </c>
      <c r="X102" s="45">
        <f t="shared" ref="X102" si="135">(H$51/100)*H102</f>
        <v>2979.0035892632873</v>
      </c>
      <c r="Y102" s="45">
        <f t="shared" ref="Y102" si="136">(I$51/100)*I102</f>
        <v>3834.9173875632828</v>
      </c>
      <c r="Z102" s="45">
        <f t="shared" ref="Z102" si="137">(J$51/100)*J102</f>
        <v>2830.1615583041489</v>
      </c>
      <c r="AA102" s="45">
        <f t="shared" ref="AA102" si="138">(K$51/100)*K102</f>
        <v>2491.8204954289145</v>
      </c>
      <c r="AB102" s="45">
        <f t="shared" ref="AB102" si="139">(L$51/100)*L102</f>
        <v>1988.2186671737707</v>
      </c>
      <c r="AC102" s="2"/>
      <c r="AO102" s="24"/>
      <c r="AP102" s="24"/>
      <c r="AQ102" s="24"/>
      <c r="AR102" s="24"/>
      <c r="AS102" s="24"/>
      <c r="AT102" s="24"/>
      <c r="AU102" s="24"/>
      <c r="AV102" s="24"/>
      <c r="AW102" s="24"/>
      <c r="AX102" s="24"/>
    </row>
    <row r="103" spans="1:50">
      <c r="A103" s="17" t="s">
        <v>73</v>
      </c>
      <c r="B103" s="17" t="s">
        <v>30</v>
      </c>
      <c r="C103" s="48"/>
      <c r="D103" s="45"/>
      <c r="E103" s="45"/>
      <c r="F103" s="45"/>
      <c r="G103" s="45"/>
      <c r="H103" s="45"/>
      <c r="I103" s="45"/>
      <c r="J103" s="45"/>
      <c r="K103" s="45"/>
      <c r="L103" s="45"/>
      <c r="M103" s="94"/>
      <c r="Q103" s="17" t="s">
        <v>73</v>
      </c>
      <c r="R103" s="17" t="s">
        <v>30</v>
      </c>
      <c r="S103" s="48"/>
      <c r="T103" s="45"/>
      <c r="U103" s="45"/>
      <c r="V103" s="45"/>
      <c r="W103" s="45"/>
      <c r="X103" s="45"/>
      <c r="Y103" s="45"/>
      <c r="Z103" s="45"/>
      <c r="AA103" s="45"/>
      <c r="AB103" s="45"/>
      <c r="AC103" s="2"/>
      <c r="AO103" s="24"/>
      <c r="AP103" s="24"/>
      <c r="AQ103" s="24"/>
      <c r="AR103" s="24"/>
      <c r="AS103" s="24"/>
      <c r="AT103" s="24"/>
      <c r="AU103" s="24"/>
      <c r="AV103" s="24"/>
      <c r="AW103" s="24"/>
      <c r="AX103" s="24"/>
    </row>
    <row r="104" spans="1:50">
      <c r="A104" s="17" t="s">
        <v>54</v>
      </c>
      <c r="B104" s="17" t="s">
        <v>30</v>
      </c>
      <c r="C104" s="48"/>
      <c r="D104" s="45"/>
      <c r="E104" s="45"/>
      <c r="F104" s="45"/>
      <c r="G104" s="45"/>
      <c r="H104" s="45"/>
      <c r="I104" s="45"/>
      <c r="J104" s="45"/>
      <c r="K104" s="45"/>
      <c r="L104" s="45"/>
      <c r="M104" s="94"/>
      <c r="Q104" s="17" t="s">
        <v>54</v>
      </c>
      <c r="R104" s="17" t="s">
        <v>30</v>
      </c>
      <c r="S104" s="48"/>
      <c r="T104" s="45"/>
      <c r="U104" s="45"/>
      <c r="V104" s="45"/>
      <c r="W104" s="45"/>
      <c r="X104" s="45"/>
      <c r="Y104" s="45"/>
      <c r="Z104" s="45"/>
      <c r="AA104" s="45"/>
      <c r="AB104" s="45"/>
      <c r="AC104" s="2"/>
      <c r="AO104" s="24"/>
      <c r="AP104" s="24"/>
      <c r="AQ104" s="24"/>
      <c r="AR104" s="24"/>
      <c r="AS104" s="24"/>
      <c r="AT104" s="24"/>
      <c r="AU104" s="24"/>
      <c r="AV104" s="24"/>
      <c r="AW104" s="24"/>
      <c r="AX104" s="24"/>
    </row>
    <row r="105" spans="1:50">
      <c r="A105" s="17" t="s">
        <v>9</v>
      </c>
      <c r="B105" s="17" t="s">
        <v>30</v>
      </c>
      <c r="C105" s="45"/>
      <c r="D105" s="45"/>
      <c r="E105" s="45"/>
      <c r="F105" s="45"/>
      <c r="G105" s="45"/>
      <c r="H105" s="45"/>
      <c r="I105" s="45"/>
      <c r="J105" s="45"/>
      <c r="K105" s="45"/>
      <c r="L105" s="45"/>
      <c r="M105" s="94"/>
      <c r="Q105" s="17" t="s">
        <v>9</v>
      </c>
      <c r="R105" s="17" t="s">
        <v>30</v>
      </c>
      <c r="S105" s="45"/>
      <c r="T105" s="45"/>
      <c r="U105" s="45"/>
      <c r="V105" s="45"/>
      <c r="W105" s="45"/>
      <c r="X105" s="45"/>
      <c r="Y105" s="45"/>
      <c r="Z105" s="45"/>
      <c r="AA105" s="45"/>
      <c r="AB105" s="45"/>
      <c r="AC105" s="2"/>
      <c r="AO105" s="24"/>
      <c r="AP105" s="24"/>
      <c r="AQ105" s="24"/>
      <c r="AR105" s="24"/>
      <c r="AS105" s="24"/>
      <c r="AT105" s="24"/>
      <c r="AU105" s="24"/>
      <c r="AV105" s="24"/>
      <c r="AW105" s="24"/>
      <c r="AX105" s="24"/>
    </row>
    <row r="106" spans="1:50">
      <c r="Q106" s="2"/>
      <c r="R106" s="2"/>
      <c r="S106" s="2"/>
      <c r="T106" s="2"/>
      <c r="U106" s="2"/>
      <c r="V106" s="2"/>
      <c r="W106" s="2"/>
      <c r="X106" s="2"/>
      <c r="Y106" s="2"/>
      <c r="Z106" s="2"/>
      <c r="AA106" s="2"/>
      <c r="AB106" s="2"/>
      <c r="AC106" s="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85"/>
  <sheetViews>
    <sheetView topLeftCell="A247" workbookViewId="0">
      <selection activeCell="R12" sqref="R12"/>
    </sheetView>
  </sheetViews>
  <sheetFormatPr defaultRowHeight="15"/>
  <cols>
    <col min="1" max="1" width="24.85546875" style="8" customWidth="1"/>
    <col min="2" max="2" width="23.85546875" style="8" bestFit="1" customWidth="1"/>
    <col min="3" max="3" width="9.140625" style="8" customWidth="1"/>
    <col min="4" max="4" width="17.140625" customWidth="1"/>
    <col min="5" max="5" width="36.5703125" customWidth="1"/>
    <col min="15" max="15" width="9.140625" style="2"/>
    <col min="17" max="17" width="9.140625" style="2"/>
  </cols>
  <sheetData>
    <row r="1" spans="1:18" ht="34.5" customHeight="1">
      <c r="A1" s="1"/>
      <c r="B1" s="9" t="s">
        <v>20</v>
      </c>
      <c r="C1" s="9"/>
    </row>
    <row r="2" spans="1:18">
      <c r="A2" s="5" t="s">
        <v>11</v>
      </c>
      <c r="B2" s="10" t="s">
        <v>21</v>
      </c>
      <c r="C2" s="10"/>
      <c r="D2" s="2"/>
      <c r="E2" s="2"/>
      <c r="F2" s="2">
        <v>2006</v>
      </c>
      <c r="G2" s="2">
        <v>2007</v>
      </c>
      <c r="H2" s="2">
        <v>2008</v>
      </c>
      <c r="I2" s="2">
        <v>2009</v>
      </c>
      <c r="J2" s="2">
        <v>2010</v>
      </c>
      <c r="K2" s="2">
        <v>2011</v>
      </c>
      <c r="L2" s="2">
        <v>2012</v>
      </c>
      <c r="M2" s="2">
        <v>2013</v>
      </c>
      <c r="N2" s="2">
        <v>2014</v>
      </c>
      <c r="O2" s="2">
        <v>2015</v>
      </c>
      <c r="P2" s="2">
        <v>2016</v>
      </c>
      <c r="R2" s="2"/>
    </row>
    <row r="3" spans="1:18">
      <c r="A3" s="5" t="s">
        <v>12</v>
      </c>
      <c r="B3" s="10" t="s">
        <v>22</v>
      </c>
      <c r="C3" s="10"/>
      <c r="D3" s="2" t="s">
        <v>0</v>
      </c>
      <c r="E3" s="2"/>
      <c r="F3" s="15">
        <f>CPI!B244</f>
        <v>86.6</v>
      </c>
      <c r="G3" s="15">
        <f>CPI!B248</f>
        <v>89.1</v>
      </c>
      <c r="H3" s="15">
        <f>CPI!B252</f>
        <v>92.4</v>
      </c>
      <c r="I3" s="15">
        <f>CPI!B256</f>
        <v>94.3</v>
      </c>
      <c r="J3" s="15">
        <f>CPI!B260</f>
        <v>96.9</v>
      </c>
      <c r="K3" s="15">
        <f>CPI!B264</f>
        <v>99.8</v>
      </c>
      <c r="L3" s="15">
        <f>CPI!B268</f>
        <v>102</v>
      </c>
      <c r="M3" s="15">
        <f>CPI!B272</f>
        <v>104.8</v>
      </c>
      <c r="N3" s="15">
        <f>CPI!B276</f>
        <v>106.6</v>
      </c>
      <c r="O3" s="15">
        <f>B280</f>
        <v>108.4</v>
      </c>
      <c r="P3" s="15">
        <f>B284</f>
        <v>110</v>
      </c>
      <c r="R3" s="2"/>
    </row>
    <row r="4" spans="1:18">
      <c r="A4" s="5" t="s">
        <v>13</v>
      </c>
      <c r="B4" s="10" t="s">
        <v>23</v>
      </c>
      <c r="C4" s="10"/>
      <c r="D4" s="2" t="s">
        <v>27</v>
      </c>
      <c r="E4" s="2"/>
      <c r="F4" s="13">
        <f>CPI!B242</f>
        <v>85.9</v>
      </c>
      <c r="G4" s="13">
        <f>CPI!B246</f>
        <v>87.7</v>
      </c>
      <c r="H4" s="13">
        <f>CPI!B250</f>
        <v>91.6</v>
      </c>
      <c r="I4" s="13">
        <f>CPI!B254</f>
        <v>92.9</v>
      </c>
      <c r="J4" s="13">
        <f>CPI!B258</f>
        <v>95.8</v>
      </c>
      <c r="K4" s="13">
        <f>CPI!B262</f>
        <v>99.2</v>
      </c>
      <c r="L4" s="13">
        <f>CPI!B266</f>
        <v>100.4</v>
      </c>
      <c r="M4" s="13">
        <f>CPI!B270</f>
        <v>102.8</v>
      </c>
      <c r="N4" s="13">
        <f>CPI!B274</f>
        <v>105.9</v>
      </c>
      <c r="O4" s="2">
        <f>B278</f>
        <v>107.5</v>
      </c>
      <c r="P4" s="2">
        <f>B282</f>
        <v>108.6</v>
      </c>
      <c r="R4" s="2"/>
    </row>
    <row r="5" spans="1:18">
      <c r="A5" s="5" t="s">
        <v>14</v>
      </c>
      <c r="B5" s="10" t="s">
        <v>24</v>
      </c>
      <c r="C5" s="10"/>
      <c r="D5" s="2" t="s">
        <v>26</v>
      </c>
      <c r="E5" s="2"/>
      <c r="F5" s="2">
        <f>CPI!B240</f>
        <v>83.8</v>
      </c>
      <c r="G5" s="2">
        <f>CPI!B244</f>
        <v>86.6</v>
      </c>
      <c r="H5" s="2">
        <f>CPI!B248</f>
        <v>89.1</v>
      </c>
      <c r="I5" s="2">
        <f>CPI!B252</f>
        <v>92.4</v>
      </c>
      <c r="J5" s="2">
        <f>CPI!B256</f>
        <v>94.3</v>
      </c>
      <c r="K5" s="2">
        <f>CPI!B260</f>
        <v>96.9</v>
      </c>
      <c r="L5" s="2">
        <f>CPI!B264</f>
        <v>99.8</v>
      </c>
      <c r="M5" s="2">
        <f>CPI!B268</f>
        <v>102</v>
      </c>
      <c r="N5" s="2">
        <f>CPI!B272</f>
        <v>104.8</v>
      </c>
      <c r="O5" s="44">
        <f>B276</f>
        <v>106.6</v>
      </c>
      <c r="P5" s="44">
        <f>B280</f>
        <v>108.4</v>
      </c>
      <c r="R5" s="2"/>
    </row>
    <row r="6" spans="1:18">
      <c r="A6" s="5" t="s">
        <v>15</v>
      </c>
      <c r="B6" s="8">
        <v>3</v>
      </c>
      <c r="D6" s="14" t="str">
        <f>"Convert to real"</f>
        <v>Convert to real</v>
      </c>
      <c r="E6" s="88">
        <v>2016</v>
      </c>
      <c r="F6" s="13"/>
      <c r="G6" s="13"/>
      <c r="H6" s="13"/>
      <c r="I6" s="13"/>
      <c r="J6" s="13"/>
      <c r="K6" s="13"/>
      <c r="L6" s="13"/>
      <c r="M6" s="13"/>
      <c r="N6" s="2"/>
      <c r="R6" s="2"/>
    </row>
    <row r="7" spans="1:18">
      <c r="A7" s="6" t="s">
        <v>16</v>
      </c>
      <c r="B7" s="11">
        <v>17777</v>
      </c>
      <c r="C7" s="11"/>
      <c r="D7" s="2"/>
      <c r="E7" s="2">
        <f>MATCH(Real_year,F2:Q2)</f>
        <v>11</v>
      </c>
      <c r="F7" s="13"/>
      <c r="G7" s="13"/>
      <c r="H7" s="13"/>
      <c r="I7" s="13"/>
      <c r="J7" s="13"/>
      <c r="K7" s="13"/>
      <c r="L7" s="13"/>
      <c r="M7" s="13"/>
      <c r="N7" s="2"/>
      <c r="R7" s="2"/>
    </row>
    <row r="8" spans="1:18">
      <c r="A8" s="6" t="s">
        <v>17</v>
      </c>
      <c r="B8" s="11">
        <v>41699</v>
      </c>
      <c r="C8" s="11"/>
      <c r="D8" s="85" t="str">
        <f>CONCATENATE(D6, " ",Real_year)</f>
        <v>Convert to real 2016</v>
      </c>
      <c r="E8" s="2">
        <f>INDEX(F2:Q5,2,$E$7)</f>
        <v>110</v>
      </c>
      <c r="F8" s="13"/>
      <c r="G8" s="13"/>
      <c r="H8" s="13"/>
      <c r="I8" s="13"/>
      <c r="J8" s="13"/>
      <c r="K8" s="13"/>
      <c r="L8" s="13"/>
      <c r="M8" s="13"/>
      <c r="N8" s="2"/>
      <c r="R8" s="2"/>
    </row>
    <row r="9" spans="1:18">
      <c r="A9" s="5" t="s">
        <v>18</v>
      </c>
      <c r="B9" s="8">
        <v>263</v>
      </c>
      <c r="D9" s="2" t="s">
        <v>29</v>
      </c>
      <c r="E9" s="2"/>
      <c r="F9" s="16">
        <f>$E$8/F4</f>
        <v>1.2805587892898718</v>
      </c>
      <c r="G9" s="16">
        <f t="shared" ref="G9:N9" si="0">$E$8/G4</f>
        <v>1.2542759407069555</v>
      </c>
      <c r="H9" s="16">
        <f t="shared" si="0"/>
        <v>1.2008733624454149</v>
      </c>
      <c r="I9" s="16">
        <f t="shared" si="0"/>
        <v>1.1840688912809472</v>
      </c>
      <c r="J9" s="16">
        <f t="shared" si="0"/>
        <v>1.1482254697286012</v>
      </c>
      <c r="K9" s="16">
        <f t="shared" si="0"/>
        <v>1.1088709677419355</v>
      </c>
      <c r="L9" s="16">
        <f t="shared" si="0"/>
        <v>1.095617529880478</v>
      </c>
      <c r="M9" s="16">
        <f t="shared" si="0"/>
        <v>1.0700389105058365</v>
      </c>
      <c r="N9" s="16">
        <f t="shared" si="0"/>
        <v>1.0387157695939566</v>
      </c>
      <c r="O9" s="16">
        <f t="shared" ref="O9:P9" si="1">$E$8/O4</f>
        <v>1.0232558139534884</v>
      </c>
      <c r="P9" s="16">
        <f t="shared" si="1"/>
        <v>1.0128913443830572</v>
      </c>
      <c r="R9" s="2"/>
    </row>
    <row r="10" spans="1:18">
      <c r="A10" s="5" t="s">
        <v>19</v>
      </c>
      <c r="B10" s="10" t="s">
        <v>25</v>
      </c>
      <c r="C10" s="10"/>
      <c r="D10" s="2" t="s">
        <v>28</v>
      </c>
      <c r="E10" s="2"/>
      <c r="F10" s="16">
        <f t="shared" ref="F10:N10" si="2">currency_base/F5</f>
        <v>1.3126491646778042</v>
      </c>
      <c r="G10" s="16">
        <f t="shared" si="2"/>
        <v>1.2702078521939955</v>
      </c>
      <c r="H10" s="16">
        <f t="shared" si="2"/>
        <v>1.2345679012345681</v>
      </c>
      <c r="I10" s="16">
        <f t="shared" si="2"/>
        <v>1.1904761904761905</v>
      </c>
      <c r="J10" s="16">
        <f t="shared" si="2"/>
        <v>1.166489925768823</v>
      </c>
      <c r="K10" s="16">
        <f t="shared" si="2"/>
        <v>1.1351909184726521</v>
      </c>
      <c r="L10" s="16">
        <f t="shared" si="2"/>
        <v>1.1022044088176353</v>
      </c>
      <c r="M10" s="16">
        <f t="shared" si="2"/>
        <v>1.0784313725490196</v>
      </c>
      <c r="N10" s="16">
        <f t="shared" si="2"/>
        <v>1.0496183206106871</v>
      </c>
      <c r="O10" s="16">
        <f t="shared" ref="O10:P10" si="3">currency_base/O5</f>
        <v>1.0318949343339587</v>
      </c>
      <c r="P10" s="16">
        <f t="shared" si="3"/>
        <v>1.014760147601476</v>
      </c>
      <c r="R10" s="2"/>
    </row>
    <row r="11" spans="1:18">
      <c r="A11" s="7">
        <v>17777</v>
      </c>
      <c r="B11" s="12">
        <v>3.7</v>
      </c>
      <c r="C11" s="12"/>
      <c r="D11" s="75" t="s">
        <v>122</v>
      </c>
    </row>
    <row r="12" spans="1:18">
      <c r="A12" s="7">
        <v>17868</v>
      </c>
      <c r="B12" s="12">
        <v>3.8</v>
      </c>
      <c r="C12" s="12"/>
    </row>
    <row r="13" spans="1:18">
      <c r="A13" s="7">
        <v>17958</v>
      </c>
      <c r="B13" s="12">
        <v>3.9</v>
      </c>
      <c r="C13" s="12"/>
    </row>
    <row r="14" spans="1:18">
      <c r="A14" s="7">
        <v>18050</v>
      </c>
      <c r="B14" s="12">
        <v>4</v>
      </c>
      <c r="C14" s="12"/>
    </row>
    <row r="15" spans="1:18">
      <c r="A15" s="7">
        <v>18142</v>
      </c>
      <c r="B15" s="12">
        <v>4.0999999999999996</v>
      </c>
      <c r="C15" s="12"/>
    </row>
    <row r="16" spans="1:18">
      <c r="A16" s="7">
        <v>18233</v>
      </c>
      <c r="B16" s="12">
        <v>4.0999999999999996</v>
      </c>
      <c r="C16" s="12"/>
    </row>
    <row r="17" spans="1:3">
      <c r="A17" s="7">
        <v>18323</v>
      </c>
      <c r="B17" s="12">
        <v>4.2</v>
      </c>
      <c r="C17" s="12"/>
    </row>
    <row r="18" spans="1:3">
      <c r="A18" s="7">
        <v>18415</v>
      </c>
      <c r="B18" s="12">
        <v>4.3</v>
      </c>
      <c r="C18" s="12"/>
    </row>
    <row r="19" spans="1:3">
      <c r="A19" s="7">
        <v>18507</v>
      </c>
      <c r="B19" s="12">
        <v>4.4000000000000004</v>
      </c>
      <c r="C19" s="12"/>
    </row>
    <row r="20" spans="1:3">
      <c r="A20" s="7">
        <v>18598</v>
      </c>
      <c r="B20" s="12">
        <v>4.5999999999999996</v>
      </c>
      <c r="C20" s="12"/>
    </row>
    <row r="21" spans="1:3">
      <c r="A21" s="7">
        <v>18688</v>
      </c>
      <c r="B21" s="12">
        <v>4.8</v>
      </c>
      <c r="C21" s="12"/>
    </row>
    <row r="22" spans="1:3">
      <c r="A22" s="7">
        <v>18780</v>
      </c>
      <c r="B22" s="12">
        <v>5.0999999999999996</v>
      </c>
      <c r="C22" s="12"/>
    </row>
    <row r="23" spans="1:3">
      <c r="A23" s="7">
        <v>18872</v>
      </c>
      <c r="B23" s="12">
        <v>5.3</v>
      </c>
      <c r="C23" s="12"/>
    </row>
    <row r="24" spans="1:3">
      <c r="A24" s="7">
        <v>18963</v>
      </c>
      <c r="B24" s="12">
        <v>5.7</v>
      </c>
      <c r="C24" s="12"/>
    </row>
    <row r="25" spans="1:3">
      <c r="A25" s="7">
        <v>19054</v>
      </c>
      <c r="B25" s="12">
        <v>5.9</v>
      </c>
      <c r="C25" s="12"/>
    </row>
    <row r="26" spans="1:3">
      <c r="A26" s="7">
        <v>19146</v>
      </c>
      <c r="B26" s="12">
        <v>6.1</v>
      </c>
      <c r="C26" s="12"/>
    </row>
    <row r="27" spans="1:3">
      <c r="A27" s="7">
        <v>19238</v>
      </c>
      <c r="B27" s="12">
        <v>6.2</v>
      </c>
      <c r="C27" s="12"/>
    </row>
    <row r="28" spans="1:3">
      <c r="A28" s="7">
        <v>19329</v>
      </c>
      <c r="B28" s="12">
        <v>6.3</v>
      </c>
      <c r="C28" s="12"/>
    </row>
    <row r="29" spans="1:3">
      <c r="A29" s="7">
        <v>19419</v>
      </c>
      <c r="B29" s="12">
        <v>6.3</v>
      </c>
      <c r="C29" s="12"/>
    </row>
    <row r="30" spans="1:3">
      <c r="A30" s="7">
        <v>19511</v>
      </c>
      <c r="B30" s="12">
        <v>6.4</v>
      </c>
      <c r="C30" s="12"/>
    </row>
    <row r="31" spans="1:3">
      <c r="A31" s="7">
        <v>19603</v>
      </c>
      <c r="B31" s="12">
        <v>6.5</v>
      </c>
      <c r="C31" s="12"/>
    </row>
    <row r="32" spans="1:3">
      <c r="A32" s="7">
        <v>19694</v>
      </c>
      <c r="B32" s="12">
        <v>6.4</v>
      </c>
      <c r="C32" s="12"/>
    </row>
    <row r="33" spans="1:3">
      <c r="A33" s="7">
        <v>19784</v>
      </c>
      <c r="B33" s="12">
        <v>6.5</v>
      </c>
      <c r="C33" s="12"/>
    </row>
    <row r="34" spans="1:3">
      <c r="A34" s="7">
        <v>19876</v>
      </c>
      <c r="B34" s="12">
        <v>6.5</v>
      </c>
      <c r="C34" s="12"/>
    </row>
    <row r="35" spans="1:3">
      <c r="A35" s="7">
        <v>19968</v>
      </c>
      <c r="B35" s="12">
        <v>6.5</v>
      </c>
      <c r="C35" s="12"/>
    </row>
    <row r="36" spans="1:3">
      <c r="A36" s="7">
        <v>20059</v>
      </c>
      <c r="B36" s="12">
        <v>6.5</v>
      </c>
      <c r="C36" s="12"/>
    </row>
    <row r="37" spans="1:3">
      <c r="A37" s="7">
        <v>20149</v>
      </c>
      <c r="B37" s="12">
        <v>6.5</v>
      </c>
      <c r="C37" s="12"/>
    </row>
    <row r="38" spans="1:3">
      <c r="A38" s="7">
        <v>20241</v>
      </c>
      <c r="B38" s="12">
        <v>6.6</v>
      </c>
      <c r="C38" s="12"/>
    </row>
    <row r="39" spans="1:3">
      <c r="A39" s="7">
        <v>20333</v>
      </c>
      <c r="B39" s="12">
        <v>6.6</v>
      </c>
      <c r="C39" s="12"/>
    </row>
    <row r="40" spans="1:3">
      <c r="A40" s="7">
        <v>20424</v>
      </c>
      <c r="B40" s="12">
        <v>6.7</v>
      </c>
      <c r="C40" s="12"/>
    </row>
    <row r="41" spans="1:3">
      <c r="A41" s="7">
        <v>20515</v>
      </c>
      <c r="B41" s="12">
        <v>6.7</v>
      </c>
      <c r="C41" s="12"/>
    </row>
    <row r="42" spans="1:3">
      <c r="A42" s="7">
        <v>20607</v>
      </c>
      <c r="B42" s="12">
        <v>7</v>
      </c>
      <c r="C42" s="12"/>
    </row>
    <row r="43" spans="1:3">
      <c r="A43" s="7">
        <v>20699</v>
      </c>
      <c r="B43" s="12">
        <v>7.1</v>
      </c>
      <c r="C43" s="12"/>
    </row>
    <row r="44" spans="1:3">
      <c r="A44" s="7">
        <v>20790</v>
      </c>
      <c r="B44" s="12">
        <v>7.1</v>
      </c>
      <c r="C44" s="12"/>
    </row>
    <row r="45" spans="1:3">
      <c r="A45" s="7">
        <v>20880</v>
      </c>
      <c r="B45" s="12">
        <v>7.1</v>
      </c>
      <c r="C45" s="12"/>
    </row>
    <row r="46" spans="1:3">
      <c r="A46" s="7">
        <v>20972</v>
      </c>
      <c r="B46" s="12">
        <v>7.2</v>
      </c>
      <c r="C46" s="12"/>
    </row>
    <row r="47" spans="1:3">
      <c r="A47" s="7">
        <v>21064</v>
      </c>
      <c r="B47" s="12">
        <v>7.2</v>
      </c>
      <c r="C47" s="12"/>
    </row>
    <row r="48" spans="1:3">
      <c r="A48" s="7">
        <v>21155</v>
      </c>
      <c r="B48" s="12">
        <v>7.2</v>
      </c>
      <c r="C48" s="12"/>
    </row>
    <row r="49" spans="1:3">
      <c r="A49" s="7">
        <v>21245</v>
      </c>
      <c r="B49" s="12">
        <v>7.2</v>
      </c>
      <c r="C49" s="12"/>
    </row>
    <row r="50" spans="1:3">
      <c r="A50" s="7">
        <v>21337</v>
      </c>
      <c r="B50" s="12">
        <v>7.2</v>
      </c>
      <c r="C50" s="12"/>
    </row>
    <row r="51" spans="1:3">
      <c r="A51" s="7">
        <v>21429</v>
      </c>
      <c r="B51" s="12">
        <v>7.2</v>
      </c>
      <c r="C51" s="12"/>
    </row>
    <row r="52" spans="1:3">
      <c r="A52" s="7">
        <v>21520</v>
      </c>
      <c r="B52" s="12">
        <v>7.3</v>
      </c>
      <c r="C52" s="12"/>
    </row>
    <row r="53" spans="1:3">
      <c r="A53" s="7">
        <v>21610</v>
      </c>
      <c r="B53" s="12">
        <v>7.3</v>
      </c>
      <c r="C53" s="12"/>
    </row>
    <row r="54" spans="1:3">
      <c r="A54" s="7">
        <v>21702</v>
      </c>
      <c r="B54" s="12">
        <v>7.3</v>
      </c>
      <c r="C54" s="12"/>
    </row>
    <row r="55" spans="1:3">
      <c r="A55" s="7">
        <v>21794</v>
      </c>
      <c r="B55" s="12">
        <v>7.4</v>
      </c>
      <c r="C55" s="12"/>
    </row>
    <row r="56" spans="1:3">
      <c r="A56" s="7">
        <v>21885</v>
      </c>
      <c r="B56" s="12">
        <v>7.5</v>
      </c>
      <c r="C56" s="12"/>
    </row>
    <row r="57" spans="1:3">
      <c r="A57" s="7">
        <v>21976</v>
      </c>
      <c r="B57" s="12">
        <v>7.5</v>
      </c>
      <c r="C57" s="12"/>
    </row>
    <row r="58" spans="1:3">
      <c r="A58" s="7">
        <v>22068</v>
      </c>
      <c r="B58" s="12">
        <v>7.6</v>
      </c>
      <c r="C58" s="12"/>
    </row>
    <row r="59" spans="1:3">
      <c r="A59" s="7">
        <v>22160</v>
      </c>
      <c r="B59" s="12">
        <v>7.7</v>
      </c>
      <c r="C59" s="12"/>
    </row>
    <row r="60" spans="1:3">
      <c r="A60" s="7">
        <v>22251</v>
      </c>
      <c r="B60" s="12">
        <v>7.8</v>
      </c>
      <c r="C60" s="12"/>
    </row>
    <row r="61" spans="1:3">
      <c r="A61" s="7">
        <v>22341</v>
      </c>
      <c r="B61" s="12">
        <v>7.8</v>
      </c>
      <c r="C61" s="12"/>
    </row>
    <row r="62" spans="1:3">
      <c r="A62" s="7">
        <v>22433</v>
      </c>
      <c r="B62" s="12">
        <v>7.9</v>
      </c>
      <c r="C62" s="12"/>
    </row>
    <row r="63" spans="1:3">
      <c r="A63" s="7">
        <v>22525</v>
      </c>
      <c r="B63" s="12">
        <v>7.8</v>
      </c>
      <c r="C63" s="12"/>
    </row>
    <row r="64" spans="1:3">
      <c r="A64" s="7">
        <v>22616</v>
      </c>
      <c r="B64" s="12">
        <v>7.8</v>
      </c>
      <c r="C64" s="12"/>
    </row>
    <row r="65" spans="1:3">
      <c r="A65" s="7">
        <v>22706</v>
      </c>
      <c r="B65" s="12">
        <v>7.8</v>
      </c>
      <c r="C65" s="12"/>
    </row>
    <row r="66" spans="1:3">
      <c r="A66" s="7">
        <v>22798</v>
      </c>
      <c r="B66" s="12">
        <v>7.8</v>
      </c>
      <c r="C66" s="12"/>
    </row>
    <row r="67" spans="1:3">
      <c r="A67" s="7">
        <v>22890</v>
      </c>
      <c r="B67" s="12">
        <v>7.8</v>
      </c>
      <c r="C67" s="12"/>
    </row>
    <row r="68" spans="1:3">
      <c r="A68" s="7">
        <v>22981</v>
      </c>
      <c r="B68" s="12">
        <v>7.8</v>
      </c>
      <c r="C68" s="12"/>
    </row>
    <row r="69" spans="1:3">
      <c r="A69" s="7">
        <v>23071</v>
      </c>
      <c r="B69" s="12">
        <v>7.8</v>
      </c>
      <c r="C69" s="12"/>
    </row>
    <row r="70" spans="1:3">
      <c r="A70" s="7">
        <v>23163</v>
      </c>
      <c r="B70" s="12">
        <v>7.8</v>
      </c>
      <c r="C70" s="12"/>
    </row>
    <row r="71" spans="1:3">
      <c r="A71" s="7">
        <v>23255</v>
      </c>
      <c r="B71" s="12">
        <v>7.9</v>
      </c>
      <c r="C71" s="12"/>
    </row>
    <row r="72" spans="1:3">
      <c r="A72" s="7">
        <v>23346</v>
      </c>
      <c r="B72" s="12">
        <v>7.9</v>
      </c>
      <c r="C72" s="12"/>
    </row>
    <row r="73" spans="1:3">
      <c r="A73" s="7">
        <v>23437</v>
      </c>
      <c r="B73" s="12">
        <v>8</v>
      </c>
      <c r="C73" s="12"/>
    </row>
    <row r="74" spans="1:3">
      <c r="A74" s="7">
        <v>23529</v>
      </c>
      <c r="B74" s="12">
        <v>8</v>
      </c>
      <c r="C74" s="12"/>
    </row>
    <row r="75" spans="1:3">
      <c r="A75" s="7">
        <v>23621</v>
      </c>
      <c r="B75" s="12">
        <v>8.1</v>
      </c>
      <c r="C75" s="12"/>
    </row>
    <row r="76" spans="1:3">
      <c r="A76" s="7">
        <v>23712</v>
      </c>
      <c r="B76" s="12">
        <v>8.1999999999999993</v>
      </c>
      <c r="C76" s="12"/>
    </row>
    <row r="77" spans="1:3">
      <c r="A77" s="7">
        <v>23802</v>
      </c>
      <c r="B77" s="12">
        <v>8.1999999999999993</v>
      </c>
      <c r="C77" s="12"/>
    </row>
    <row r="78" spans="1:3">
      <c r="A78" s="7">
        <v>23894</v>
      </c>
      <c r="B78" s="12">
        <v>8.3000000000000007</v>
      </c>
      <c r="C78" s="12"/>
    </row>
    <row r="79" spans="1:3">
      <c r="A79" s="7">
        <v>23986</v>
      </c>
      <c r="B79" s="12">
        <v>8.4</v>
      </c>
      <c r="C79" s="12"/>
    </row>
    <row r="80" spans="1:3">
      <c r="A80" s="7">
        <v>24077</v>
      </c>
      <c r="B80" s="12">
        <v>8.5</v>
      </c>
      <c r="C80" s="12"/>
    </row>
    <row r="81" spans="1:3">
      <c r="A81" s="7">
        <v>24167</v>
      </c>
      <c r="B81" s="12">
        <v>8.6</v>
      </c>
      <c r="C81" s="12"/>
    </row>
    <row r="82" spans="1:3">
      <c r="A82" s="7">
        <v>24259</v>
      </c>
      <c r="B82" s="12">
        <v>8.6</v>
      </c>
      <c r="C82" s="12"/>
    </row>
    <row r="83" spans="1:3">
      <c r="A83" s="7">
        <v>24351</v>
      </c>
      <c r="B83" s="12">
        <v>8.6</v>
      </c>
      <c r="C83" s="12"/>
    </row>
    <row r="84" spans="1:3">
      <c r="A84" s="7">
        <v>24442</v>
      </c>
      <c r="B84" s="12">
        <v>8.6999999999999993</v>
      </c>
      <c r="C84" s="12"/>
    </row>
    <row r="85" spans="1:3">
      <c r="A85" s="7">
        <v>24532</v>
      </c>
      <c r="B85" s="12">
        <v>8.8000000000000007</v>
      </c>
      <c r="C85" s="12"/>
    </row>
    <row r="86" spans="1:3">
      <c r="A86" s="7">
        <v>24624</v>
      </c>
      <c r="B86" s="12">
        <v>8.9</v>
      </c>
      <c r="C86" s="12"/>
    </row>
    <row r="87" spans="1:3">
      <c r="A87" s="7">
        <v>24716</v>
      </c>
      <c r="B87" s="12">
        <v>9</v>
      </c>
      <c r="C87" s="12"/>
    </row>
    <row r="88" spans="1:3">
      <c r="A88" s="7">
        <v>24807</v>
      </c>
      <c r="B88" s="12">
        <v>9</v>
      </c>
      <c r="C88" s="12"/>
    </row>
    <row r="89" spans="1:3">
      <c r="A89" s="7">
        <v>24898</v>
      </c>
      <c r="B89" s="12">
        <v>9.1</v>
      </c>
      <c r="C89" s="12"/>
    </row>
    <row r="90" spans="1:3">
      <c r="A90" s="7">
        <v>24990</v>
      </c>
      <c r="B90" s="12">
        <v>9.1</v>
      </c>
      <c r="C90" s="12"/>
    </row>
    <row r="91" spans="1:3">
      <c r="A91" s="7">
        <v>25082</v>
      </c>
      <c r="B91" s="12">
        <v>9.1999999999999993</v>
      </c>
      <c r="C91" s="12"/>
    </row>
    <row r="92" spans="1:3">
      <c r="A92" s="7">
        <v>25173</v>
      </c>
      <c r="B92" s="12">
        <v>9.1999999999999993</v>
      </c>
      <c r="C92" s="12"/>
    </row>
    <row r="93" spans="1:3">
      <c r="A93" s="7">
        <v>25263</v>
      </c>
      <c r="B93" s="12">
        <v>9.4</v>
      </c>
      <c r="C93" s="12"/>
    </row>
    <row r="94" spans="1:3">
      <c r="A94" s="7">
        <v>25355</v>
      </c>
      <c r="B94" s="12">
        <v>9.4</v>
      </c>
      <c r="C94" s="12"/>
    </row>
    <row r="95" spans="1:3">
      <c r="A95" s="7">
        <v>25447</v>
      </c>
      <c r="B95" s="12">
        <v>9.5</v>
      </c>
      <c r="C95" s="12"/>
    </row>
    <row r="96" spans="1:3">
      <c r="A96" s="7">
        <v>25538</v>
      </c>
      <c r="B96" s="12">
        <v>9.5</v>
      </c>
      <c r="C96" s="12"/>
    </row>
    <row r="97" spans="1:3">
      <c r="A97" s="7">
        <v>25628</v>
      </c>
      <c r="B97" s="12">
        <v>9.6</v>
      </c>
      <c r="C97" s="12"/>
    </row>
    <row r="98" spans="1:3">
      <c r="A98" s="7">
        <v>25720</v>
      </c>
      <c r="B98" s="12">
        <v>9.6999999999999993</v>
      </c>
      <c r="C98" s="12"/>
    </row>
    <row r="99" spans="1:3">
      <c r="A99" s="7">
        <v>25812</v>
      </c>
      <c r="B99" s="12">
        <v>9.8000000000000007</v>
      </c>
      <c r="C99" s="12"/>
    </row>
    <row r="100" spans="1:3">
      <c r="A100" s="7">
        <v>25903</v>
      </c>
      <c r="B100" s="12">
        <v>10</v>
      </c>
      <c r="C100" s="12"/>
    </row>
    <row r="101" spans="1:3">
      <c r="A101" s="7">
        <v>25993</v>
      </c>
      <c r="B101" s="12">
        <v>10.1</v>
      </c>
      <c r="C101" s="12"/>
    </row>
    <row r="102" spans="1:3">
      <c r="A102" s="7">
        <v>26085</v>
      </c>
      <c r="B102" s="12">
        <v>10.199999999999999</v>
      </c>
      <c r="C102" s="12"/>
    </row>
    <row r="103" spans="1:3">
      <c r="A103" s="7">
        <v>26177</v>
      </c>
      <c r="B103" s="12">
        <v>10.5</v>
      </c>
      <c r="C103" s="12"/>
    </row>
    <row r="104" spans="1:3">
      <c r="A104" s="7">
        <v>26268</v>
      </c>
      <c r="B104" s="12">
        <v>10.7</v>
      </c>
      <c r="C104" s="12"/>
    </row>
    <row r="105" spans="1:3">
      <c r="A105" s="7">
        <v>26359</v>
      </c>
      <c r="B105" s="12">
        <v>10.8</v>
      </c>
      <c r="C105" s="12"/>
    </row>
    <row r="106" spans="1:3">
      <c r="A106" s="7">
        <v>26451</v>
      </c>
      <c r="B106" s="12">
        <v>10.9</v>
      </c>
      <c r="C106" s="12"/>
    </row>
    <row r="107" spans="1:3">
      <c r="A107" s="7">
        <v>26543</v>
      </c>
      <c r="B107" s="12">
        <v>11.1</v>
      </c>
      <c r="C107" s="12"/>
    </row>
    <row r="108" spans="1:3">
      <c r="A108" s="7">
        <v>26634</v>
      </c>
      <c r="B108" s="12">
        <v>11.2</v>
      </c>
      <c r="C108" s="12"/>
    </row>
    <row r="109" spans="1:3">
      <c r="A109" s="7">
        <v>26724</v>
      </c>
      <c r="B109" s="12">
        <v>11.4</v>
      </c>
      <c r="C109" s="12"/>
    </row>
    <row r="110" spans="1:3">
      <c r="A110" s="7">
        <v>26816</v>
      </c>
      <c r="B110" s="12">
        <v>11.8</v>
      </c>
      <c r="C110" s="12"/>
    </row>
    <row r="111" spans="1:3">
      <c r="A111" s="7">
        <v>26908</v>
      </c>
      <c r="B111" s="12">
        <v>12.2</v>
      </c>
      <c r="C111" s="12"/>
    </row>
    <row r="112" spans="1:3">
      <c r="A112" s="7">
        <v>26999</v>
      </c>
      <c r="B112" s="12">
        <v>12.6</v>
      </c>
      <c r="C112" s="12"/>
    </row>
    <row r="113" spans="1:3">
      <c r="A113" s="7">
        <v>27089</v>
      </c>
      <c r="B113" s="12">
        <v>13</v>
      </c>
      <c r="C113" s="12"/>
    </row>
    <row r="114" spans="1:3">
      <c r="A114" s="7">
        <v>27181</v>
      </c>
      <c r="B114" s="12">
        <v>13.5</v>
      </c>
      <c r="C114" s="12"/>
    </row>
    <row r="115" spans="1:3">
      <c r="A115" s="7">
        <v>27273</v>
      </c>
      <c r="B115" s="12">
        <v>14.2</v>
      </c>
      <c r="C115" s="12"/>
    </row>
    <row r="116" spans="1:3">
      <c r="A116" s="7">
        <v>27364</v>
      </c>
      <c r="B116" s="12">
        <v>14.7</v>
      </c>
      <c r="C116" s="12"/>
    </row>
    <row r="117" spans="1:3">
      <c r="A117" s="7">
        <v>27454</v>
      </c>
      <c r="B117" s="12">
        <v>15.3</v>
      </c>
      <c r="C117" s="12"/>
    </row>
    <row r="118" spans="1:3">
      <c r="A118" s="7">
        <v>27546</v>
      </c>
      <c r="B118" s="12">
        <v>15.8</v>
      </c>
      <c r="C118" s="12"/>
    </row>
    <row r="119" spans="1:3">
      <c r="A119" s="7">
        <v>27638</v>
      </c>
      <c r="B119" s="12">
        <v>15.9</v>
      </c>
      <c r="C119" s="12"/>
    </row>
    <row r="120" spans="1:3">
      <c r="A120" s="7">
        <v>27729</v>
      </c>
      <c r="B120" s="12">
        <v>16.8</v>
      </c>
      <c r="C120" s="12"/>
    </row>
    <row r="121" spans="1:3">
      <c r="A121" s="7">
        <v>27820</v>
      </c>
      <c r="B121" s="12">
        <v>17.3</v>
      </c>
      <c r="C121" s="12"/>
    </row>
    <row r="122" spans="1:3">
      <c r="A122" s="7">
        <v>27912</v>
      </c>
      <c r="B122" s="12">
        <v>17.7</v>
      </c>
      <c r="C122" s="12"/>
    </row>
    <row r="123" spans="1:3">
      <c r="A123" s="7">
        <v>28004</v>
      </c>
      <c r="B123" s="12">
        <v>18.100000000000001</v>
      </c>
      <c r="C123" s="12"/>
    </row>
    <row r="124" spans="1:3">
      <c r="A124" s="7">
        <v>28095</v>
      </c>
      <c r="B124" s="12">
        <v>19.2</v>
      </c>
      <c r="C124" s="12"/>
    </row>
    <row r="125" spans="1:3">
      <c r="A125" s="7">
        <v>28185</v>
      </c>
      <c r="B125" s="12">
        <v>19.600000000000001</v>
      </c>
      <c r="C125" s="12"/>
    </row>
    <row r="126" spans="1:3">
      <c r="A126" s="7">
        <v>28277</v>
      </c>
      <c r="B126" s="12">
        <v>20.100000000000001</v>
      </c>
      <c r="C126" s="12"/>
    </row>
    <row r="127" spans="1:3">
      <c r="A127" s="7">
        <v>28369</v>
      </c>
      <c r="B127" s="12">
        <v>20.5</v>
      </c>
      <c r="C127" s="12"/>
    </row>
    <row r="128" spans="1:3">
      <c r="A128" s="7">
        <v>28460</v>
      </c>
      <c r="B128" s="12">
        <v>21</v>
      </c>
      <c r="C128" s="12"/>
    </row>
    <row r="129" spans="1:3">
      <c r="A129" s="7">
        <v>28550</v>
      </c>
      <c r="B129" s="12">
        <v>21.3</v>
      </c>
      <c r="C129" s="12"/>
    </row>
    <row r="130" spans="1:3">
      <c r="A130" s="7">
        <v>28642</v>
      </c>
      <c r="B130" s="12">
        <v>21.7</v>
      </c>
      <c r="C130" s="12"/>
    </row>
    <row r="131" spans="1:3">
      <c r="A131" s="7">
        <v>28734</v>
      </c>
      <c r="B131" s="12">
        <v>22.1</v>
      </c>
      <c r="C131" s="12"/>
    </row>
    <row r="132" spans="1:3">
      <c r="A132" s="7">
        <v>28825</v>
      </c>
      <c r="B132" s="12">
        <v>22.6</v>
      </c>
      <c r="C132" s="12"/>
    </row>
    <row r="133" spans="1:3">
      <c r="A133" s="7">
        <v>28915</v>
      </c>
      <c r="B133" s="12">
        <v>23</v>
      </c>
      <c r="C133" s="12"/>
    </row>
    <row r="134" spans="1:3">
      <c r="A134" s="7">
        <v>29007</v>
      </c>
      <c r="B134" s="12">
        <v>23.6</v>
      </c>
      <c r="C134" s="12"/>
    </row>
    <row r="135" spans="1:3">
      <c r="A135" s="7">
        <v>29099</v>
      </c>
      <c r="B135" s="12">
        <v>24.2</v>
      </c>
      <c r="C135" s="12"/>
    </row>
    <row r="136" spans="1:3">
      <c r="A136" s="7">
        <v>29190</v>
      </c>
      <c r="B136" s="12">
        <v>24.9</v>
      </c>
      <c r="C136" s="12"/>
    </row>
    <row r="137" spans="1:3">
      <c r="A137" s="7">
        <v>29281</v>
      </c>
      <c r="B137" s="12">
        <v>25.4</v>
      </c>
      <c r="C137" s="12"/>
    </row>
    <row r="138" spans="1:3">
      <c r="A138" s="7">
        <v>29373</v>
      </c>
      <c r="B138" s="12">
        <v>26.2</v>
      </c>
      <c r="C138" s="12"/>
    </row>
    <row r="139" spans="1:3">
      <c r="A139" s="7">
        <v>29465</v>
      </c>
      <c r="B139" s="12">
        <v>26.6</v>
      </c>
      <c r="C139" s="12"/>
    </row>
    <row r="140" spans="1:3">
      <c r="A140" s="7">
        <v>29556</v>
      </c>
      <c r="B140" s="12">
        <v>27.2</v>
      </c>
      <c r="C140" s="12"/>
    </row>
    <row r="141" spans="1:3">
      <c r="A141" s="7">
        <v>29646</v>
      </c>
      <c r="B141" s="12">
        <v>27.8</v>
      </c>
      <c r="C141" s="12"/>
    </row>
    <row r="142" spans="1:3">
      <c r="A142" s="7">
        <v>29738</v>
      </c>
      <c r="B142" s="12">
        <v>28.4</v>
      </c>
      <c r="C142" s="12"/>
    </row>
    <row r="143" spans="1:3">
      <c r="A143" s="7">
        <v>29830</v>
      </c>
      <c r="B143" s="12">
        <v>29</v>
      </c>
      <c r="C143" s="12"/>
    </row>
    <row r="144" spans="1:3">
      <c r="A144" s="7">
        <v>29921</v>
      </c>
      <c r="B144" s="12">
        <v>30.2</v>
      </c>
      <c r="C144" s="12"/>
    </row>
    <row r="145" spans="1:3">
      <c r="A145" s="7">
        <v>30011</v>
      </c>
      <c r="B145" s="12">
        <v>30.8</v>
      </c>
      <c r="C145" s="12"/>
    </row>
    <row r="146" spans="1:3">
      <c r="A146" s="7">
        <v>30103</v>
      </c>
      <c r="B146" s="12">
        <v>31.5</v>
      </c>
      <c r="C146" s="12"/>
    </row>
    <row r="147" spans="1:3">
      <c r="A147" s="7">
        <v>30195</v>
      </c>
      <c r="B147" s="12">
        <v>32.6</v>
      </c>
      <c r="C147" s="12"/>
    </row>
    <row r="148" spans="1:3">
      <c r="A148" s="7">
        <v>30286</v>
      </c>
      <c r="B148" s="12">
        <v>33.6</v>
      </c>
      <c r="C148" s="12"/>
    </row>
    <row r="149" spans="1:3">
      <c r="A149" s="7">
        <v>30376</v>
      </c>
      <c r="B149" s="12">
        <v>34.299999999999997</v>
      </c>
      <c r="C149" s="12"/>
    </row>
    <row r="150" spans="1:3">
      <c r="A150" s="7">
        <v>30468</v>
      </c>
      <c r="B150" s="12">
        <v>35</v>
      </c>
      <c r="C150" s="12"/>
    </row>
    <row r="151" spans="1:3">
      <c r="A151" s="7">
        <v>30560</v>
      </c>
      <c r="B151" s="12">
        <v>35.6</v>
      </c>
      <c r="C151" s="12"/>
    </row>
    <row r="152" spans="1:3">
      <c r="A152" s="7">
        <v>30651</v>
      </c>
      <c r="B152" s="12">
        <v>36.5</v>
      </c>
      <c r="C152" s="12"/>
    </row>
    <row r="153" spans="1:3">
      <c r="A153" s="7">
        <v>30742</v>
      </c>
      <c r="B153" s="12">
        <v>36.299999999999997</v>
      </c>
      <c r="C153" s="12"/>
    </row>
    <row r="154" spans="1:3">
      <c r="A154" s="7">
        <v>30834</v>
      </c>
      <c r="B154" s="12">
        <v>36.4</v>
      </c>
      <c r="C154" s="12"/>
    </row>
    <row r="155" spans="1:3">
      <c r="A155" s="7">
        <v>30926</v>
      </c>
      <c r="B155" s="12">
        <v>36.9</v>
      </c>
      <c r="C155" s="12"/>
    </row>
    <row r="156" spans="1:3">
      <c r="A156" s="7">
        <v>31017</v>
      </c>
      <c r="B156" s="12">
        <v>37.4</v>
      </c>
      <c r="C156" s="12"/>
    </row>
    <row r="157" spans="1:3">
      <c r="A157" s="7">
        <v>31107</v>
      </c>
      <c r="B157" s="12">
        <v>37.9</v>
      </c>
      <c r="C157" s="12"/>
    </row>
    <row r="158" spans="1:3">
      <c r="A158" s="7">
        <v>31199</v>
      </c>
      <c r="B158" s="12">
        <v>38.799999999999997</v>
      </c>
      <c r="C158" s="12"/>
    </row>
    <row r="159" spans="1:3">
      <c r="A159" s="7">
        <v>31291</v>
      </c>
      <c r="B159" s="12">
        <v>39.700000000000003</v>
      </c>
      <c r="C159" s="12"/>
    </row>
    <row r="160" spans="1:3">
      <c r="A160" s="7">
        <v>31382</v>
      </c>
      <c r="B160" s="12">
        <v>40.5</v>
      </c>
      <c r="C160" s="12"/>
    </row>
    <row r="161" spans="1:3">
      <c r="A161" s="7">
        <v>31472</v>
      </c>
      <c r="B161" s="12">
        <v>41.4</v>
      </c>
      <c r="C161" s="12"/>
    </row>
    <row r="162" spans="1:3">
      <c r="A162" s="7">
        <v>31564</v>
      </c>
      <c r="B162" s="12">
        <v>42.1</v>
      </c>
      <c r="C162" s="12"/>
    </row>
    <row r="163" spans="1:3">
      <c r="A163" s="7">
        <v>31656</v>
      </c>
      <c r="B163" s="12">
        <v>43.2</v>
      </c>
      <c r="C163" s="12"/>
    </row>
    <row r="164" spans="1:3">
      <c r="A164" s="7">
        <v>31747</v>
      </c>
      <c r="B164" s="12">
        <v>44.4</v>
      </c>
      <c r="C164" s="12"/>
    </row>
    <row r="165" spans="1:3">
      <c r="A165" s="7">
        <v>31837</v>
      </c>
      <c r="B165" s="12">
        <v>45.3</v>
      </c>
      <c r="C165" s="12"/>
    </row>
    <row r="166" spans="1:3">
      <c r="A166" s="7">
        <v>31929</v>
      </c>
      <c r="B166" s="12">
        <v>46</v>
      </c>
      <c r="C166" s="12"/>
    </row>
    <row r="167" spans="1:3">
      <c r="A167" s="7">
        <v>32021</v>
      </c>
      <c r="B167" s="12">
        <v>46.8</v>
      </c>
      <c r="C167" s="12"/>
    </row>
    <row r="168" spans="1:3">
      <c r="A168" s="7">
        <v>32112</v>
      </c>
      <c r="B168" s="12">
        <v>47.6</v>
      </c>
      <c r="C168" s="12"/>
    </row>
    <row r="169" spans="1:3">
      <c r="A169" s="7">
        <v>32203</v>
      </c>
      <c r="B169" s="12">
        <v>48.4</v>
      </c>
      <c r="C169" s="12"/>
    </row>
    <row r="170" spans="1:3">
      <c r="A170" s="7">
        <v>32295</v>
      </c>
      <c r="B170" s="12">
        <v>49.3</v>
      </c>
      <c r="C170" s="12"/>
    </row>
    <row r="171" spans="1:3">
      <c r="A171" s="7">
        <v>32387</v>
      </c>
      <c r="B171" s="12">
        <v>50.2</v>
      </c>
      <c r="C171" s="12"/>
    </row>
    <row r="172" spans="1:3">
      <c r="A172" s="7">
        <v>32478</v>
      </c>
      <c r="B172" s="12">
        <v>51.2</v>
      </c>
      <c r="C172" s="12"/>
    </row>
    <row r="173" spans="1:3">
      <c r="A173" s="7">
        <v>32568</v>
      </c>
      <c r="B173" s="12">
        <v>51.7</v>
      </c>
      <c r="C173" s="12"/>
    </row>
    <row r="174" spans="1:3">
      <c r="A174" s="7">
        <v>32660</v>
      </c>
      <c r="B174" s="12">
        <v>53</v>
      </c>
      <c r="C174" s="12"/>
    </row>
    <row r="175" spans="1:3">
      <c r="A175" s="7">
        <v>32752</v>
      </c>
      <c r="B175" s="12">
        <v>54.2</v>
      </c>
      <c r="C175" s="12"/>
    </row>
    <row r="176" spans="1:3">
      <c r="A176" s="7">
        <v>32843</v>
      </c>
      <c r="B176" s="12">
        <v>55.2</v>
      </c>
      <c r="C176" s="12"/>
    </row>
    <row r="177" spans="1:3">
      <c r="A177" s="7">
        <v>32933</v>
      </c>
      <c r="B177" s="12">
        <v>56.2</v>
      </c>
      <c r="C177" s="12"/>
    </row>
    <row r="178" spans="1:3">
      <c r="A178" s="7">
        <v>33025</v>
      </c>
      <c r="B178" s="12">
        <v>57.1</v>
      </c>
      <c r="C178" s="12"/>
    </row>
    <row r="179" spans="1:3">
      <c r="A179" s="7">
        <v>33117</v>
      </c>
      <c r="B179" s="12">
        <v>57.5</v>
      </c>
      <c r="C179" s="12"/>
    </row>
    <row r="180" spans="1:3">
      <c r="A180" s="7">
        <v>33208</v>
      </c>
      <c r="B180" s="12">
        <v>59</v>
      </c>
      <c r="C180" s="12"/>
    </row>
    <row r="181" spans="1:3">
      <c r="A181" s="7">
        <v>33298</v>
      </c>
      <c r="B181" s="12">
        <v>58.9</v>
      </c>
      <c r="C181" s="12"/>
    </row>
    <row r="182" spans="1:3">
      <c r="A182" s="7">
        <v>33390</v>
      </c>
      <c r="B182" s="12">
        <v>59</v>
      </c>
      <c r="C182" s="12"/>
    </row>
    <row r="183" spans="1:3">
      <c r="A183" s="7">
        <v>33482</v>
      </c>
      <c r="B183" s="12">
        <v>59.3</v>
      </c>
      <c r="C183" s="12"/>
    </row>
    <row r="184" spans="1:3">
      <c r="A184" s="7">
        <v>33573</v>
      </c>
      <c r="B184" s="12">
        <v>59.9</v>
      </c>
      <c r="C184" s="12"/>
    </row>
    <row r="185" spans="1:3">
      <c r="A185" s="7">
        <v>33664</v>
      </c>
      <c r="B185" s="12">
        <v>59.9</v>
      </c>
      <c r="C185" s="12"/>
    </row>
    <row r="186" spans="1:3">
      <c r="A186" s="7">
        <v>33756</v>
      </c>
      <c r="B186" s="12">
        <v>59.7</v>
      </c>
      <c r="C186" s="12"/>
    </row>
    <row r="187" spans="1:3">
      <c r="A187" s="7">
        <v>33848</v>
      </c>
      <c r="B187" s="12">
        <v>59.8</v>
      </c>
      <c r="C187" s="12"/>
    </row>
    <row r="188" spans="1:3">
      <c r="A188" s="7">
        <v>33939</v>
      </c>
      <c r="B188" s="12">
        <v>60.1</v>
      </c>
      <c r="C188" s="12"/>
    </row>
    <row r="189" spans="1:3">
      <c r="A189" s="7">
        <v>34029</v>
      </c>
      <c r="B189" s="12">
        <v>60.6</v>
      </c>
      <c r="C189" s="12"/>
    </row>
    <row r="190" spans="1:3">
      <c r="A190" s="7">
        <v>34121</v>
      </c>
      <c r="B190" s="12">
        <v>60.8</v>
      </c>
      <c r="C190" s="12"/>
    </row>
    <row r="191" spans="1:3">
      <c r="A191" s="7">
        <v>34213</v>
      </c>
      <c r="B191" s="12">
        <v>61.1</v>
      </c>
      <c r="C191" s="12"/>
    </row>
    <row r="192" spans="1:3">
      <c r="A192" s="7">
        <v>34304</v>
      </c>
      <c r="B192" s="12">
        <v>61.2</v>
      </c>
      <c r="C192" s="12"/>
    </row>
    <row r="193" spans="1:3">
      <c r="A193" s="7">
        <v>34394</v>
      </c>
      <c r="B193" s="12">
        <v>61.5</v>
      </c>
      <c r="C193" s="12"/>
    </row>
    <row r="194" spans="1:3">
      <c r="A194" s="7">
        <v>34486</v>
      </c>
      <c r="B194" s="12">
        <v>61.9</v>
      </c>
      <c r="C194" s="12"/>
    </row>
    <row r="195" spans="1:3">
      <c r="A195" s="7">
        <v>34578</v>
      </c>
      <c r="B195" s="12">
        <v>62.3</v>
      </c>
      <c r="C195" s="12"/>
    </row>
    <row r="196" spans="1:3">
      <c r="A196" s="7">
        <v>34669</v>
      </c>
      <c r="B196" s="12">
        <v>62.8</v>
      </c>
      <c r="C196" s="12"/>
    </row>
    <row r="197" spans="1:3">
      <c r="A197" s="7">
        <v>34759</v>
      </c>
      <c r="B197" s="12">
        <v>63.8</v>
      </c>
      <c r="C197" s="12"/>
    </row>
    <row r="198" spans="1:3">
      <c r="A198" s="7">
        <v>34851</v>
      </c>
      <c r="B198" s="12">
        <v>64.7</v>
      </c>
      <c r="C198" s="12"/>
    </row>
    <row r="199" spans="1:3">
      <c r="A199" s="7">
        <v>34943</v>
      </c>
      <c r="B199" s="12">
        <v>65.5</v>
      </c>
      <c r="C199" s="12"/>
    </row>
    <row r="200" spans="1:3">
      <c r="A200" s="7">
        <v>35034</v>
      </c>
      <c r="B200" s="12">
        <v>66</v>
      </c>
      <c r="C200" s="12"/>
    </row>
    <row r="201" spans="1:3">
      <c r="A201" s="7">
        <v>35125</v>
      </c>
      <c r="B201" s="12">
        <v>66.2</v>
      </c>
      <c r="C201" s="12"/>
    </row>
    <row r="202" spans="1:3">
      <c r="A202" s="7">
        <v>35217</v>
      </c>
      <c r="B202" s="12">
        <v>66.7</v>
      </c>
      <c r="C202" s="12"/>
    </row>
    <row r="203" spans="1:3">
      <c r="A203" s="7">
        <v>35309</v>
      </c>
      <c r="B203" s="12">
        <v>66.900000000000006</v>
      </c>
      <c r="C203" s="12"/>
    </row>
    <row r="204" spans="1:3">
      <c r="A204" s="7">
        <v>35400</v>
      </c>
      <c r="B204" s="12">
        <v>67</v>
      </c>
      <c r="C204" s="12"/>
    </row>
    <row r="205" spans="1:3">
      <c r="A205" s="7">
        <v>35490</v>
      </c>
      <c r="B205" s="12">
        <v>67.099999999999994</v>
      </c>
      <c r="C205" s="12"/>
    </row>
    <row r="206" spans="1:3">
      <c r="A206" s="7">
        <v>35582</v>
      </c>
      <c r="B206" s="12">
        <v>66.900000000000006</v>
      </c>
      <c r="C206" s="12"/>
    </row>
    <row r="207" spans="1:3">
      <c r="A207" s="7">
        <v>35674</v>
      </c>
      <c r="B207" s="12">
        <v>66.599999999999994</v>
      </c>
      <c r="C207" s="12"/>
    </row>
    <row r="208" spans="1:3">
      <c r="A208" s="7">
        <v>35765</v>
      </c>
      <c r="B208" s="12">
        <v>66.8</v>
      </c>
      <c r="C208" s="12"/>
    </row>
    <row r="209" spans="1:3">
      <c r="A209" s="7">
        <v>35855</v>
      </c>
      <c r="B209" s="12">
        <v>67</v>
      </c>
      <c r="C209" s="12"/>
    </row>
    <row r="210" spans="1:3">
      <c r="A210" s="7">
        <v>35947</v>
      </c>
      <c r="B210" s="12">
        <v>67.400000000000006</v>
      </c>
      <c r="C210" s="12"/>
    </row>
    <row r="211" spans="1:3">
      <c r="A211" s="7">
        <v>36039</v>
      </c>
      <c r="B211" s="12">
        <v>67.5</v>
      </c>
      <c r="C211" s="12"/>
    </row>
    <row r="212" spans="1:3">
      <c r="A212" s="7">
        <v>36130</v>
      </c>
      <c r="B212" s="12">
        <v>67.8</v>
      </c>
      <c r="C212" s="12"/>
    </row>
    <row r="213" spans="1:3">
      <c r="A213" s="7">
        <v>36220</v>
      </c>
      <c r="B213" s="12">
        <v>67.8</v>
      </c>
      <c r="C213" s="12"/>
    </row>
    <row r="214" spans="1:3">
      <c r="A214" s="7">
        <v>36312</v>
      </c>
      <c r="B214" s="12">
        <v>68.099999999999994</v>
      </c>
      <c r="C214" s="12"/>
    </row>
    <row r="215" spans="1:3">
      <c r="A215" s="7">
        <v>36404</v>
      </c>
      <c r="B215" s="12">
        <v>68.7</v>
      </c>
      <c r="C215" s="12"/>
    </row>
    <row r="216" spans="1:3">
      <c r="A216" s="7">
        <v>36495</v>
      </c>
      <c r="B216" s="12">
        <v>69.099999999999994</v>
      </c>
      <c r="C216" s="12"/>
    </row>
    <row r="217" spans="1:3">
      <c r="A217" s="7">
        <v>36586</v>
      </c>
      <c r="B217" s="12">
        <v>69.7</v>
      </c>
      <c r="C217" s="12"/>
    </row>
    <row r="218" spans="1:3">
      <c r="A218" s="7">
        <v>36678</v>
      </c>
      <c r="B218" s="12">
        <v>70.2</v>
      </c>
      <c r="C218" s="12"/>
    </row>
    <row r="219" spans="1:3">
      <c r="A219" s="7">
        <v>36770</v>
      </c>
      <c r="B219" s="12">
        <v>72.900000000000006</v>
      </c>
      <c r="C219" s="12"/>
    </row>
    <row r="220" spans="1:3">
      <c r="A220" s="7">
        <v>36861</v>
      </c>
      <c r="B220" s="12">
        <v>73.099999999999994</v>
      </c>
      <c r="C220" s="12"/>
    </row>
    <row r="221" spans="1:3">
      <c r="A221" s="7">
        <v>36951</v>
      </c>
      <c r="B221" s="12">
        <v>73.900000000000006</v>
      </c>
      <c r="C221" s="12"/>
    </row>
    <row r="222" spans="1:3">
      <c r="A222" s="7">
        <v>37043</v>
      </c>
      <c r="B222" s="12">
        <v>74.5</v>
      </c>
      <c r="C222" s="12"/>
    </row>
    <row r="223" spans="1:3">
      <c r="A223" s="7">
        <v>37135</v>
      </c>
      <c r="B223" s="12">
        <v>74.7</v>
      </c>
      <c r="C223" s="12"/>
    </row>
    <row r="224" spans="1:3">
      <c r="A224" s="7">
        <v>37226</v>
      </c>
      <c r="B224" s="12">
        <v>75.400000000000006</v>
      </c>
      <c r="C224" s="12"/>
    </row>
    <row r="225" spans="1:3">
      <c r="A225" s="7">
        <v>37316</v>
      </c>
      <c r="B225" s="12">
        <v>76.099999999999994</v>
      </c>
      <c r="C225" s="12"/>
    </row>
    <row r="226" spans="1:3">
      <c r="A226" s="7">
        <v>37408</v>
      </c>
      <c r="B226" s="12">
        <v>76.599999999999994</v>
      </c>
      <c r="C226" s="12"/>
    </row>
    <row r="227" spans="1:3">
      <c r="A227" s="7">
        <v>37500</v>
      </c>
      <c r="B227" s="12">
        <v>77.099999999999994</v>
      </c>
      <c r="C227" s="12"/>
    </row>
    <row r="228" spans="1:3">
      <c r="A228" s="7">
        <v>37591</v>
      </c>
      <c r="B228" s="12">
        <v>77.599999999999994</v>
      </c>
      <c r="C228" s="12"/>
    </row>
    <row r="229" spans="1:3">
      <c r="A229" s="7">
        <v>37681</v>
      </c>
      <c r="B229" s="12">
        <v>78.599999999999994</v>
      </c>
      <c r="C229" s="12"/>
    </row>
    <row r="230" spans="1:3">
      <c r="A230" s="7">
        <v>37773</v>
      </c>
      <c r="B230" s="12">
        <v>78.599999999999994</v>
      </c>
      <c r="C230" s="12"/>
    </row>
    <row r="231" spans="1:3">
      <c r="A231" s="7">
        <v>37865</v>
      </c>
      <c r="B231" s="12">
        <v>79.099999999999994</v>
      </c>
      <c r="C231" s="12"/>
    </row>
    <row r="232" spans="1:3">
      <c r="A232" s="7">
        <v>37956</v>
      </c>
      <c r="B232" s="12">
        <v>79.5</v>
      </c>
      <c r="C232" s="12"/>
    </row>
    <row r="233" spans="1:3">
      <c r="A233" s="7">
        <v>38047</v>
      </c>
      <c r="B233" s="12">
        <v>80.2</v>
      </c>
      <c r="C233" s="12"/>
    </row>
    <row r="234" spans="1:3">
      <c r="A234" s="7">
        <v>38139</v>
      </c>
      <c r="B234" s="12">
        <v>80.599999999999994</v>
      </c>
      <c r="C234" s="12"/>
    </row>
    <row r="235" spans="1:3">
      <c r="A235" s="7">
        <v>38231</v>
      </c>
      <c r="B235" s="12">
        <v>80.900000000000006</v>
      </c>
      <c r="C235" s="12"/>
    </row>
    <row r="236" spans="1:3">
      <c r="A236" s="7">
        <v>38322</v>
      </c>
      <c r="B236" s="12">
        <v>81.5</v>
      </c>
      <c r="C236" s="12"/>
    </row>
    <row r="237" spans="1:3">
      <c r="A237" s="7">
        <v>38412</v>
      </c>
      <c r="B237" s="12">
        <v>82.1</v>
      </c>
      <c r="C237" s="12"/>
    </row>
    <row r="238" spans="1:3">
      <c r="A238" s="7">
        <v>38504</v>
      </c>
      <c r="B238" s="12">
        <v>82.6</v>
      </c>
      <c r="C238" s="12"/>
    </row>
    <row r="239" spans="1:3">
      <c r="A239" s="7">
        <v>38596</v>
      </c>
      <c r="B239" s="12">
        <v>83.4</v>
      </c>
      <c r="C239" s="12"/>
    </row>
    <row r="240" spans="1:3">
      <c r="A240" s="7">
        <v>38687</v>
      </c>
      <c r="B240" s="12">
        <v>83.8</v>
      </c>
      <c r="C240" s="12"/>
    </row>
    <row r="241" spans="1:3">
      <c r="A241" s="7">
        <v>38777</v>
      </c>
      <c r="B241" s="12">
        <v>84.5</v>
      </c>
      <c r="C241" s="12"/>
    </row>
    <row r="242" spans="1:3">
      <c r="A242" s="7">
        <v>38869</v>
      </c>
      <c r="B242" s="12">
        <v>85.9</v>
      </c>
      <c r="C242" s="12"/>
    </row>
    <row r="243" spans="1:3">
      <c r="A243" s="7">
        <v>38961</v>
      </c>
      <c r="B243" s="12">
        <v>86.7</v>
      </c>
      <c r="C243" s="12"/>
    </row>
    <row r="244" spans="1:3">
      <c r="A244" s="7">
        <v>39052</v>
      </c>
      <c r="B244" s="12">
        <v>86.6</v>
      </c>
      <c r="C244" s="12"/>
    </row>
    <row r="245" spans="1:3">
      <c r="A245" s="7">
        <v>39142</v>
      </c>
      <c r="B245" s="12">
        <v>86.6</v>
      </c>
      <c r="C245" s="12"/>
    </row>
    <row r="246" spans="1:3">
      <c r="A246" s="7">
        <v>39234</v>
      </c>
      <c r="B246" s="12">
        <v>87.7</v>
      </c>
      <c r="C246" s="12"/>
    </row>
    <row r="247" spans="1:3">
      <c r="A247" s="7">
        <v>39326</v>
      </c>
      <c r="B247" s="12">
        <v>88.3</v>
      </c>
      <c r="C247" s="12"/>
    </row>
    <row r="248" spans="1:3">
      <c r="A248" s="7">
        <v>39417</v>
      </c>
      <c r="B248" s="12">
        <v>89.1</v>
      </c>
      <c r="C248" s="12"/>
    </row>
    <row r="249" spans="1:3">
      <c r="A249" s="7">
        <v>39508</v>
      </c>
      <c r="B249" s="12">
        <v>90.3</v>
      </c>
      <c r="C249" s="12"/>
    </row>
    <row r="250" spans="1:3">
      <c r="A250" s="7">
        <v>39600</v>
      </c>
      <c r="B250" s="12">
        <v>91.6</v>
      </c>
      <c r="C250" s="12"/>
    </row>
    <row r="251" spans="1:3">
      <c r="A251" s="7">
        <v>39692</v>
      </c>
      <c r="B251" s="12">
        <v>92.7</v>
      </c>
      <c r="C251" s="12"/>
    </row>
    <row r="252" spans="1:3">
      <c r="A252" s="7">
        <v>39783</v>
      </c>
      <c r="B252" s="12">
        <v>92.4</v>
      </c>
      <c r="C252" s="12"/>
    </row>
    <row r="253" spans="1:3">
      <c r="A253" s="7">
        <v>39873</v>
      </c>
      <c r="B253" s="12">
        <v>92.5</v>
      </c>
      <c r="C253" s="12"/>
    </row>
    <row r="254" spans="1:3">
      <c r="A254" s="7">
        <v>39965</v>
      </c>
      <c r="B254" s="12">
        <v>92.9</v>
      </c>
      <c r="C254" s="12"/>
    </row>
    <row r="255" spans="1:3">
      <c r="A255" s="7">
        <v>40057</v>
      </c>
      <c r="B255" s="12">
        <v>93.8</v>
      </c>
      <c r="C255" s="12"/>
    </row>
    <row r="256" spans="1:3">
      <c r="A256" s="7">
        <v>40148</v>
      </c>
      <c r="B256" s="12">
        <v>94.3</v>
      </c>
      <c r="C256" s="12"/>
    </row>
    <row r="257" spans="1:3">
      <c r="A257" s="7">
        <v>40238</v>
      </c>
      <c r="B257" s="12">
        <v>95.2</v>
      </c>
      <c r="C257" s="12"/>
    </row>
    <row r="258" spans="1:3">
      <c r="A258" s="7">
        <v>40330</v>
      </c>
      <c r="B258" s="12">
        <v>95.8</v>
      </c>
      <c r="C258" s="12"/>
    </row>
    <row r="259" spans="1:3">
      <c r="A259" s="7">
        <v>40422</v>
      </c>
      <c r="B259" s="12">
        <v>96.5</v>
      </c>
      <c r="C259" s="12"/>
    </row>
    <row r="260" spans="1:3">
      <c r="A260" s="7">
        <v>40513</v>
      </c>
      <c r="B260" s="12">
        <v>96.9</v>
      </c>
      <c r="C260" s="12"/>
    </row>
    <row r="261" spans="1:3">
      <c r="A261" s="7">
        <v>40603</v>
      </c>
      <c r="B261" s="12">
        <v>98.3</v>
      </c>
      <c r="C261" s="12"/>
    </row>
    <row r="262" spans="1:3">
      <c r="A262" s="7">
        <v>40695</v>
      </c>
      <c r="B262" s="12">
        <v>99.2</v>
      </c>
      <c r="C262" s="12"/>
    </row>
    <row r="263" spans="1:3">
      <c r="A263" s="7">
        <v>40787</v>
      </c>
      <c r="B263" s="12">
        <v>99.8</v>
      </c>
      <c r="C263" s="12"/>
    </row>
    <row r="264" spans="1:3">
      <c r="A264" s="7">
        <v>40878</v>
      </c>
      <c r="B264" s="12">
        <v>99.8</v>
      </c>
      <c r="C264" s="12"/>
    </row>
    <row r="265" spans="1:3">
      <c r="A265" s="7">
        <v>40969</v>
      </c>
      <c r="B265" s="12">
        <v>99.9</v>
      </c>
      <c r="C265" s="12"/>
    </row>
    <row r="266" spans="1:3">
      <c r="A266" s="7">
        <v>41061</v>
      </c>
      <c r="B266" s="12">
        <v>100.4</v>
      </c>
      <c r="C266" s="12"/>
    </row>
    <row r="267" spans="1:3">
      <c r="A267" s="7">
        <v>41153</v>
      </c>
      <c r="B267" s="12">
        <v>101.8</v>
      </c>
      <c r="C267" s="12"/>
    </row>
    <row r="268" spans="1:3">
      <c r="A268" s="7">
        <v>41244</v>
      </c>
      <c r="B268" s="12">
        <v>102</v>
      </c>
      <c r="C268" s="12"/>
    </row>
    <row r="269" spans="1:3">
      <c r="A269" s="7">
        <v>41334</v>
      </c>
      <c r="B269" s="12">
        <v>102.4</v>
      </c>
      <c r="C269" s="12"/>
    </row>
    <row r="270" spans="1:3">
      <c r="A270" s="7">
        <v>41426</v>
      </c>
      <c r="B270" s="12">
        <v>102.8</v>
      </c>
      <c r="C270" s="12"/>
    </row>
    <row r="271" spans="1:3">
      <c r="A271" s="7">
        <v>41518</v>
      </c>
      <c r="B271" s="12">
        <v>104</v>
      </c>
      <c r="C271" s="12"/>
    </row>
    <row r="272" spans="1:3">
      <c r="A272" s="7">
        <v>41609</v>
      </c>
      <c r="B272" s="12">
        <v>104.8</v>
      </c>
      <c r="C272" s="12"/>
    </row>
    <row r="273" spans="1:5">
      <c r="A273" s="7">
        <v>41699</v>
      </c>
      <c r="B273" s="12">
        <v>105.4</v>
      </c>
      <c r="C273" s="12"/>
      <c r="D273" s="123"/>
      <c r="E273" s="124"/>
    </row>
    <row r="274" spans="1:5">
      <c r="A274" s="7">
        <v>41791</v>
      </c>
      <c r="B274" s="31">
        <v>105.9</v>
      </c>
      <c r="C274" s="31"/>
      <c r="D274" s="123"/>
      <c r="E274" s="124"/>
    </row>
    <row r="275" spans="1:5">
      <c r="A275" s="7">
        <v>41883</v>
      </c>
      <c r="B275" s="31">
        <v>106.4</v>
      </c>
      <c r="C275" s="31"/>
      <c r="D275" s="123"/>
      <c r="E275" s="124"/>
    </row>
    <row r="276" spans="1:5">
      <c r="A276" s="7">
        <v>41974</v>
      </c>
      <c r="B276" s="31">
        <v>106.6</v>
      </c>
      <c r="C276" s="31"/>
      <c r="D276" s="123"/>
      <c r="E276" s="124"/>
    </row>
    <row r="277" spans="1:5">
      <c r="A277" s="7">
        <v>42064</v>
      </c>
      <c r="B277" s="31">
        <v>106.8</v>
      </c>
      <c r="C277" s="31"/>
      <c r="D277" s="123"/>
      <c r="E277" s="124"/>
    </row>
    <row r="278" spans="1:5">
      <c r="A278" s="7">
        <v>42156</v>
      </c>
      <c r="B278" s="8">
        <v>107.5</v>
      </c>
      <c r="D278" s="123"/>
      <c r="E278" s="124"/>
    </row>
    <row r="279" spans="1:5">
      <c r="A279" s="7">
        <v>42248</v>
      </c>
      <c r="B279" s="8">
        <v>108</v>
      </c>
      <c r="D279" s="123"/>
      <c r="E279" s="124"/>
    </row>
    <row r="280" spans="1:5">
      <c r="A280" s="7">
        <v>42339</v>
      </c>
      <c r="B280" s="8">
        <v>108.4</v>
      </c>
      <c r="D280" s="123"/>
      <c r="E280" s="124"/>
    </row>
    <row r="281" spans="1:5">
      <c r="A281" s="7">
        <v>42430</v>
      </c>
      <c r="B281" s="8">
        <v>108.2</v>
      </c>
      <c r="D281" s="123"/>
      <c r="E281" s="124"/>
    </row>
    <row r="282" spans="1:5">
      <c r="A282" s="7">
        <v>42522</v>
      </c>
      <c r="B282" s="8">
        <v>108.6</v>
      </c>
      <c r="D282" s="123"/>
      <c r="E282" s="124"/>
    </row>
    <row r="283" spans="1:5">
      <c r="A283" s="7">
        <v>42614</v>
      </c>
      <c r="B283" s="8">
        <v>109.4</v>
      </c>
      <c r="D283" s="123"/>
      <c r="E283" s="124"/>
    </row>
    <row r="284" spans="1:5">
      <c r="A284" s="7">
        <v>42705</v>
      </c>
      <c r="B284" s="8">
        <v>110</v>
      </c>
      <c r="D284" s="123"/>
      <c r="E284" s="124"/>
    </row>
    <row r="285" spans="1:5">
      <c r="A285" s="7">
        <v>42795</v>
      </c>
      <c r="B285" s="8">
        <v>110.5</v>
      </c>
      <c r="D285" s="123"/>
      <c r="E285" s="124"/>
    </row>
  </sheetData>
  <dataValidations count="1">
    <dataValidation type="list" allowBlank="1" showInputMessage="1" showErrorMessage="1" sqref="E6">
      <formula1>$F$2:$P$2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45"/>
  <sheetViews>
    <sheetView zoomScale="79" zoomScaleNormal="79" workbookViewId="0">
      <selection activeCell="N3" sqref="N3:N15"/>
    </sheetView>
  </sheetViews>
  <sheetFormatPr defaultRowHeight="15"/>
  <cols>
    <col min="1" max="1" width="20" customWidth="1"/>
    <col min="2" max="2" width="18.42578125" customWidth="1"/>
    <col min="3" max="12" width="9.42578125" customWidth="1"/>
    <col min="13" max="13" width="9.42578125" style="2" customWidth="1"/>
  </cols>
  <sheetData>
    <row r="1" spans="1:25">
      <c r="C1">
        <v>2006</v>
      </c>
      <c r="D1">
        <v>2007</v>
      </c>
      <c r="E1" s="2">
        <v>2008</v>
      </c>
      <c r="F1" s="2">
        <v>2009</v>
      </c>
      <c r="G1" s="2">
        <v>2010</v>
      </c>
      <c r="H1" s="2">
        <v>2011</v>
      </c>
      <c r="I1" s="2">
        <v>2012</v>
      </c>
      <c r="J1" s="2">
        <v>2013</v>
      </c>
      <c r="K1" s="2">
        <v>2014</v>
      </c>
      <c r="L1" s="2">
        <v>2015</v>
      </c>
      <c r="M1" s="2">
        <v>2016</v>
      </c>
      <c r="O1" s="83" t="s">
        <v>133</v>
      </c>
    </row>
    <row r="2" spans="1:25">
      <c r="A2" s="23" t="s">
        <v>36</v>
      </c>
      <c r="L2" s="2"/>
    </row>
    <row r="3" spans="1:25">
      <c r="A3" s="17" t="s">
        <v>1</v>
      </c>
      <c r="B3" s="17" t="s">
        <v>101</v>
      </c>
      <c r="C3" s="4">
        <f>'[3]7. Quality of services'!D13</f>
        <v>35</v>
      </c>
      <c r="D3" s="4">
        <f>'[3]7. Quality of services'!E13</f>
        <v>44.3</v>
      </c>
      <c r="E3" s="4">
        <f>'[3]7. Quality of services'!F13</f>
        <v>25.6</v>
      </c>
      <c r="F3" s="4">
        <f>'[3]7. Quality of services'!G13</f>
        <v>29.9</v>
      </c>
      <c r="G3" s="4">
        <f>'[3]7. Quality of services'!H13</f>
        <v>25.8</v>
      </c>
      <c r="H3" s="4">
        <f>'[3]7. Quality of services'!I13</f>
        <v>47.7</v>
      </c>
      <c r="I3" s="4">
        <f>'[3]7. Quality of services'!J13</f>
        <v>32.5</v>
      </c>
      <c r="J3" s="4">
        <f>'[3]7. Quality of services'!K13</f>
        <v>28.7</v>
      </c>
      <c r="K3" s="47">
        <f>'[4]3.6 Quality of service'!$E$19</f>
        <v>26.806000000000001</v>
      </c>
      <c r="L3" s="47">
        <f>'[5]3.6 Quality of service'!$E$19</f>
        <v>32.869999999999997</v>
      </c>
      <c r="M3" s="47">
        <f>'[6]3.6 Quality of service'!$D$17</f>
        <v>35.096162004447258</v>
      </c>
      <c r="O3" s="77">
        <f>AVERAGE(I3:M3)</f>
        <v>31.19443240088945</v>
      </c>
      <c r="Q3" s="77"/>
      <c r="R3" s="77"/>
      <c r="S3" s="77"/>
      <c r="T3" s="77"/>
      <c r="U3" s="77"/>
      <c r="V3" s="77"/>
      <c r="W3" s="77"/>
      <c r="X3" s="77"/>
      <c r="Y3" s="77"/>
    </row>
    <row r="4" spans="1:25">
      <c r="A4" s="17" t="s">
        <v>78</v>
      </c>
      <c r="B4" s="17" t="s">
        <v>101</v>
      </c>
      <c r="C4" s="33">
        <f>'[7]7. Quality of services'!D13</f>
        <v>86.99</v>
      </c>
      <c r="D4" s="33">
        <f>'[7]7. Quality of services'!E13</f>
        <v>85.5</v>
      </c>
      <c r="E4" s="33">
        <f>'[7]7. Quality of services'!F13</f>
        <v>97.03</v>
      </c>
      <c r="F4" s="33">
        <f>'[7]7. Quality of services'!G13</f>
        <v>106.5</v>
      </c>
      <c r="G4" s="33">
        <f>'[7]7. Quality of services'!H13</f>
        <v>78.94</v>
      </c>
      <c r="H4" s="33">
        <f>'[7]7. Quality of services'!I13</f>
        <v>89.33</v>
      </c>
      <c r="I4" s="33">
        <f>'[7]7. Quality of services'!J13</f>
        <v>79.27</v>
      </c>
      <c r="J4" s="33">
        <f>'[7]7. Quality of services'!K13</f>
        <v>67.62</v>
      </c>
      <c r="K4" s="47">
        <f>'[8]3.6 Quality of service'!$E$19</f>
        <v>76.52</v>
      </c>
      <c r="L4" s="47">
        <f>'[9]3.6 Quality of service'!$E$19</f>
        <v>71.400000000000006</v>
      </c>
      <c r="M4" s="47">
        <f>'[10]3.6 Quality of service'!D$17</f>
        <v>76.006865543512617</v>
      </c>
      <c r="N4" s="2"/>
      <c r="O4" s="77">
        <f t="shared" ref="O4:O15" si="0">AVERAGE(I4:M4)</f>
        <v>74.163373108702515</v>
      </c>
      <c r="Q4" s="77"/>
      <c r="R4" s="77"/>
      <c r="S4" s="77"/>
      <c r="T4" s="77"/>
      <c r="U4" s="77"/>
      <c r="V4" s="77"/>
      <c r="W4" s="77"/>
      <c r="X4" s="77"/>
      <c r="Y4" s="77"/>
    </row>
    <row r="5" spans="1:25">
      <c r="A5" s="17" t="s">
        <v>2</v>
      </c>
      <c r="B5" s="17" t="s">
        <v>101</v>
      </c>
      <c r="C5" s="33">
        <f>'[11]7. Quality of services'!D13</f>
        <v>24.725570762254232</v>
      </c>
      <c r="D5" s="33">
        <f>'[11]7. Quality of services'!E13</f>
        <v>21.906217701678496</v>
      </c>
      <c r="E5" s="33">
        <f>'[11]7. Quality of services'!F13</f>
        <v>16.601113307461898</v>
      </c>
      <c r="F5" s="33">
        <f>'[11]7. Quality of services'!G13</f>
        <v>29.618728230424427</v>
      </c>
      <c r="G5" s="33">
        <f>'[11]7. Quality of services'!H13</f>
        <v>30.021198669582894</v>
      </c>
      <c r="H5" s="33">
        <f>'[11]7. Quality of services'!I13</f>
        <v>22.710519896521433</v>
      </c>
      <c r="I5" s="33">
        <f>'[11]7. Quality of services'!J13</f>
        <v>29.14513647014126</v>
      </c>
      <c r="J5" s="33">
        <f>'[11]7. Quality of services'!K13</f>
        <v>26.9238056540968</v>
      </c>
      <c r="K5" s="47">
        <f>'[12]3.6 Quality of service'!$E$19</f>
        <v>34.507169219613324</v>
      </c>
      <c r="L5" s="47">
        <f>'[13]3.6 Quality of service'!$E$19</f>
        <v>26.380737345617302</v>
      </c>
      <c r="M5" s="47">
        <f>'[14]3.6 Quality of service'!$D$17</f>
        <v>24.5</v>
      </c>
      <c r="N5" s="2"/>
      <c r="O5" s="77">
        <f t="shared" si="0"/>
        <v>28.291369737893739</v>
      </c>
      <c r="Q5" s="77"/>
      <c r="R5" s="77"/>
      <c r="S5" s="77"/>
      <c r="T5" s="77"/>
      <c r="U5" s="77"/>
      <c r="V5" s="77"/>
      <c r="W5" s="77"/>
      <c r="X5" s="77"/>
      <c r="Y5" s="77"/>
    </row>
    <row r="6" spans="1:25">
      <c r="A6" s="17" t="s">
        <v>3</v>
      </c>
      <c r="B6" s="17" t="s">
        <v>101</v>
      </c>
      <c r="C6" s="33">
        <f>'[15]7. Quality of services'!D13</f>
        <v>99.3</v>
      </c>
      <c r="D6" s="33">
        <f>'[15]7. Quality of services'!E13</f>
        <v>96</v>
      </c>
      <c r="E6" s="33">
        <f>'[15]7. Quality of services'!F13</f>
        <v>101.7</v>
      </c>
      <c r="F6" s="33">
        <f>'[15]7. Quality of services'!G13</f>
        <v>96.3</v>
      </c>
      <c r="G6" s="33">
        <f>'[15]7. Quality of services'!H13</f>
        <v>79.400000000000006</v>
      </c>
      <c r="H6" s="33">
        <f>'[15]7. Quality of services'!I13</f>
        <v>76.900000000000006</v>
      </c>
      <c r="I6" s="33">
        <f>'[15]7. Quality of services'!J13</f>
        <v>93.3</v>
      </c>
      <c r="J6" s="33">
        <f>'[15]7. Quality of services'!K13</f>
        <v>104.3</v>
      </c>
      <c r="K6" s="47">
        <f>'[16]3.6 Quality of service'!$E$19</f>
        <v>82.6</v>
      </c>
      <c r="L6" s="47">
        <f>'[17]3.6 Quality of service'!$E$19</f>
        <v>91.321908440356268</v>
      </c>
      <c r="M6" s="47">
        <f>'[18]3.6 Quality of service'!$D$17</f>
        <v>86.711122512133926</v>
      </c>
      <c r="N6" s="2"/>
      <c r="O6" s="77">
        <f t="shared" si="0"/>
        <v>91.646606190498034</v>
      </c>
      <c r="Q6" s="77"/>
      <c r="R6" s="77"/>
      <c r="S6" s="77"/>
      <c r="T6" s="77"/>
      <c r="U6" s="77"/>
      <c r="V6" s="77"/>
      <c r="W6" s="77"/>
      <c r="X6" s="77"/>
      <c r="Y6" s="77"/>
    </row>
    <row r="7" spans="1:25">
      <c r="A7" s="17" t="s">
        <v>4</v>
      </c>
      <c r="B7" s="17" t="s">
        <v>101</v>
      </c>
      <c r="C7" s="33">
        <f>'[19]7. Quality of services'!D13</f>
        <v>128.22244078912925</v>
      </c>
      <c r="D7" s="33">
        <f>'[19]7. Quality of services'!E13</f>
        <v>88.220873930035282</v>
      </c>
      <c r="E7" s="33">
        <f>'[19]7. Quality of services'!F13</f>
        <v>100.34512508466591</v>
      </c>
      <c r="F7" s="33">
        <f>'[19]7. Quality of services'!G13</f>
        <v>90.789053875531593</v>
      </c>
      <c r="G7" s="33">
        <f>'[19]7. Quality of services'!H13</f>
        <v>87.675284727806371</v>
      </c>
      <c r="H7" s="33">
        <f>'[19]7. Quality of services'!I13</f>
        <v>78.77865093964239</v>
      </c>
      <c r="I7" s="33">
        <f>'[19]7. Quality of services'!J13</f>
        <v>64.171918977412147</v>
      </c>
      <c r="J7" s="33">
        <f>'[19]7. Quality of services'!K13</f>
        <v>67.30305820281967</v>
      </c>
      <c r="K7" s="47">
        <f>'[20]3.6 Quality of service'!$E$19</f>
        <v>70.043999999999997</v>
      </c>
      <c r="L7" s="47">
        <f>'[21]3.6 Quality of service'!$E$19</f>
        <v>84.462000000000003</v>
      </c>
      <c r="M7" s="47">
        <f>'[22]3.6 Quality of service'!$D$17</f>
        <v>74.052999999999997</v>
      </c>
      <c r="N7" s="2"/>
      <c r="O7" s="77">
        <f t="shared" si="0"/>
        <v>72.00679543604636</v>
      </c>
      <c r="Q7" s="77"/>
      <c r="R7" s="77"/>
      <c r="S7" s="77"/>
      <c r="T7" s="77"/>
      <c r="U7" s="77"/>
      <c r="V7" s="77"/>
      <c r="W7" s="77"/>
      <c r="X7" s="77"/>
      <c r="Y7" s="77"/>
    </row>
    <row r="8" spans="1:25">
      <c r="A8" s="17" t="s">
        <v>10</v>
      </c>
      <c r="B8" s="17" t="s">
        <v>101</v>
      </c>
      <c r="C8" s="47">
        <f>'[23]7. Quality of services'!D13</f>
        <v>380.488</v>
      </c>
      <c r="D8" s="47">
        <f>'[23]7. Quality of services'!E13</f>
        <v>264.065</v>
      </c>
      <c r="E8" s="47">
        <f>'[23]7. Quality of services'!F13</f>
        <v>316.66800000000001</v>
      </c>
      <c r="F8" s="47">
        <f>'[23]7. Quality of services'!G13</f>
        <v>352.06400000000002</v>
      </c>
      <c r="G8" s="47">
        <f>'[23]7. Quality of services'!H13</f>
        <v>352.245</v>
      </c>
      <c r="H8" s="47">
        <f>'[23]7. Quality of services'!I13</f>
        <v>324.96300000000002</v>
      </c>
      <c r="I8" s="47">
        <f>'[23]7. Quality of services'!J13</f>
        <v>295.80200000000002</v>
      </c>
      <c r="J8" s="47">
        <f>'[23]7. Quality of services'!K13</f>
        <v>264.10500000000002</v>
      </c>
      <c r="K8" s="47">
        <f>'[24]3.6 Quality of service'!$E$19</f>
        <v>228.05540000000002</v>
      </c>
      <c r="L8" s="47">
        <f>'[25]3.6 Quality of service'!$E$19</f>
        <v>281.05220000000003</v>
      </c>
      <c r="M8" s="47">
        <f>'[26]3.6 Quality of service'!$D$17</f>
        <v>280.49130000000002</v>
      </c>
      <c r="N8" s="2"/>
      <c r="O8" s="77">
        <f t="shared" si="0"/>
        <v>269.90118000000001</v>
      </c>
      <c r="Q8" s="77"/>
      <c r="R8" s="77"/>
      <c r="S8" s="77"/>
      <c r="T8" s="77"/>
      <c r="U8" s="77"/>
      <c r="V8" s="77"/>
      <c r="W8" s="77"/>
      <c r="X8" s="77"/>
      <c r="Y8" s="77"/>
    </row>
    <row r="9" spans="1:25">
      <c r="A9" s="17" t="s">
        <v>5</v>
      </c>
      <c r="B9" s="17" t="s">
        <v>101</v>
      </c>
      <c r="C9" s="47">
        <f>'[27]7. Quality of services'!D13</f>
        <v>297</v>
      </c>
      <c r="D9" s="47">
        <f>'[27]7. Quality of services'!E13</f>
        <v>222.3</v>
      </c>
      <c r="E9" s="47">
        <f>'[27]7. Quality of services'!F13</f>
        <v>218.4</v>
      </c>
      <c r="F9" s="47">
        <f>'[27]7. Quality of services'!G13</f>
        <v>261</v>
      </c>
      <c r="G9" s="47">
        <f>'[27]7. Quality of services'!H13</f>
        <v>196.5</v>
      </c>
      <c r="H9" s="47">
        <f>'[27]7. Quality of services'!I13</f>
        <v>222.5</v>
      </c>
      <c r="I9" s="47">
        <f>'[27]7. Quality of services'!J13</f>
        <v>237.5</v>
      </c>
      <c r="J9" s="47">
        <f>'[27]7. Quality of services'!K13</f>
        <v>232.5</v>
      </c>
      <c r="K9" s="47">
        <f>'[28]3.6 Quality of service'!$E$19</f>
        <v>181.2</v>
      </c>
      <c r="L9" s="47">
        <f>'[29]3.6 Quality of service'!$E$19</f>
        <v>221.568489267991</v>
      </c>
      <c r="M9" s="47">
        <f>'[30]3.6 Quality of service'!$D$17</f>
        <v>214.148293962503</v>
      </c>
      <c r="N9" s="2"/>
      <c r="O9" s="77">
        <f t="shared" si="0"/>
        <v>217.3833566460988</v>
      </c>
      <c r="Q9" s="77"/>
      <c r="R9" s="77"/>
      <c r="S9" s="77"/>
      <c r="T9" s="77"/>
      <c r="U9" s="77"/>
      <c r="V9" s="77"/>
      <c r="W9" s="77"/>
      <c r="X9" s="77"/>
      <c r="Y9" s="77"/>
    </row>
    <row r="10" spans="1:25">
      <c r="A10" s="17" t="s">
        <v>6</v>
      </c>
      <c r="B10" s="17" t="s">
        <v>101</v>
      </c>
      <c r="C10" s="47">
        <f>'[31]7. Quality of services'!D13</f>
        <v>69.021352361721284</v>
      </c>
      <c r="D10" s="47">
        <f>'[31]7. Quality of services'!E13</f>
        <v>67.811222289456708</v>
      </c>
      <c r="E10" s="47">
        <f>'[31]7. Quality of services'!F13</f>
        <v>62.878306039097502</v>
      </c>
      <c r="F10" s="47">
        <f>'[31]7. Quality of services'!G13</f>
        <v>71.279554322294047</v>
      </c>
      <c r="G10" s="47">
        <f>'[31]7. Quality of services'!H13</f>
        <v>62.346781955955791</v>
      </c>
      <c r="H10" s="47">
        <f>'[31]7. Quality of services'!I13</f>
        <v>55.23865369764043</v>
      </c>
      <c r="I10" s="47">
        <f>'[31]7. Quality of services'!J13</f>
        <v>50.241946065289383</v>
      </c>
      <c r="J10" s="47">
        <f>'[31]7. Quality of services'!K13</f>
        <v>59.791650722955808</v>
      </c>
      <c r="K10" s="33">
        <f>'[32]3.6 Quality of service'!$E$19</f>
        <v>58.621416391095032</v>
      </c>
      <c r="L10" s="47">
        <f>'[33]3.6 Quality of service'!$E$19</f>
        <v>46.948210580025325</v>
      </c>
      <c r="M10" s="47">
        <f>'[34]3.6 Quality of service'!$D$17</f>
        <v>45.59627473380047</v>
      </c>
      <c r="N10" s="2"/>
      <c r="O10" s="77">
        <f t="shared" si="0"/>
        <v>52.239899698633202</v>
      </c>
      <c r="Q10" s="77"/>
      <c r="R10" s="77"/>
      <c r="S10" s="77"/>
      <c r="T10" s="77"/>
      <c r="U10" s="77"/>
      <c r="V10" s="77"/>
      <c r="W10" s="77"/>
      <c r="X10" s="77"/>
      <c r="Y10" s="77"/>
    </row>
    <row r="11" spans="1:25">
      <c r="A11" s="17" t="s">
        <v>7</v>
      </c>
      <c r="B11" s="17" t="s">
        <v>101</v>
      </c>
      <c r="C11" s="47">
        <f>'[35]7. Quality of services'!D13</f>
        <v>121.15573509668673</v>
      </c>
      <c r="D11" s="47">
        <f>'[35]7. Quality of services'!E13</f>
        <v>140.60759218572258</v>
      </c>
      <c r="E11" s="47">
        <f>'[35]7. Quality of services'!F13</f>
        <v>118.90660700838622</v>
      </c>
      <c r="F11" s="47">
        <f>'[35]7. Quality of services'!G13</f>
        <v>170.26821726930939</v>
      </c>
      <c r="G11" s="47">
        <f>'[35]7. Quality of services'!H13</f>
        <v>149.94903693856875</v>
      </c>
      <c r="H11" s="47">
        <f>'[35]7. Quality of services'!I13</f>
        <v>125.11566741846536</v>
      </c>
      <c r="I11" s="47">
        <f>'[35]7. Quality of services'!J13</f>
        <v>129.5445426218773</v>
      </c>
      <c r="J11" s="47">
        <f>'[35]7. Quality of services'!K13</f>
        <v>139.15164793268386</v>
      </c>
      <c r="K11" s="47">
        <f>'[36]3.6 Quality of service'!$E$19</f>
        <v>166.22700974925019</v>
      </c>
      <c r="L11" s="47">
        <f>'[37]3.6 Quality of service'!$E$19</f>
        <v>134.397081776752</v>
      </c>
      <c r="M11" s="47">
        <f>'[38]3.6 Quality of service'!$D$17</f>
        <v>129.69999999999999</v>
      </c>
      <c r="N11" s="2"/>
      <c r="O11" s="77">
        <f t="shared" si="0"/>
        <v>139.80405641611264</v>
      </c>
      <c r="Q11" s="77"/>
      <c r="R11" s="77"/>
      <c r="S11" s="77"/>
      <c r="T11" s="77"/>
      <c r="U11" s="77"/>
      <c r="V11" s="77"/>
      <c r="W11" s="77"/>
      <c r="X11" s="77"/>
      <c r="Y11" s="77"/>
    </row>
    <row r="12" spans="1:25">
      <c r="A12" s="17" t="s">
        <v>8</v>
      </c>
      <c r="B12" s="17" t="s">
        <v>101</v>
      </c>
      <c r="C12" s="47">
        <f>'[39]7. Quality of services'!D13</f>
        <v>156.4</v>
      </c>
      <c r="D12" s="47">
        <f>'[39]7. Quality of services'!E13</f>
        <v>180.2</v>
      </c>
      <c r="E12" s="47">
        <f>'[39]7. Quality of services'!F13</f>
        <v>129.6</v>
      </c>
      <c r="F12" s="47">
        <f>'[39]7. Quality of services'!G13</f>
        <v>136.4</v>
      </c>
      <c r="G12" s="47">
        <f>'[39]7. Quality of services'!H13</f>
        <v>180.6</v>
      </c>
      <c r="H12" s="47">
        <f>'[39]7. Quality of services'!I13</f>
        <v>161.69999999999999</v>
      </c>
      <c r="I12" s="47">
        <f>'[39]7. Quality of services'!J13</f>
        <v>130.1</v>
      </c>
      <c r="J12" s="47">
        <f>'[39]7. Quality of services'!K13</f>
        <v>143.30000000000001</v>
      </c>
      <c r="K12" s="47">
        <f>'[40]3.6 Quality of service'!$E$19</f>
        <v>167.6</v>
      </c>
      <c r="L12" s="47">
        <f>'[41]3.6 Quality of service'!$E$19</f>
        <v>123.7</v>
      </c>
      <c r="M12" s="47">
        <f>'[42]3.6 Quality of service'!$D$17</f>
        <v>138.97</v>
      </c>
      <c r="N12" s="2"/>
      <c r="O12" s="77">
        <f t="shared" si="0"/>
        <v>140.73400000000001</v>
      </c>
      <c r="Q12" s="77"/>
      <c r="R12" s="77"/>
      <c r="S12" s="77"/>
      <c r="T12" s="77"/>
      <c r="U12" s="77"/>
      <c r="V12" s="77"/>
      <c r="W12" s="77"/>
      <c r="X12" s="77"/>
      <c r="Y12" s="77"/>
    </row>
    <row r="13" spans="1:25">
      <c r="A13" s="17" t="s">
        <v>73</v>
      </c>
      <c r="B13" s="17" t="s">
        <v>101</v>
      </c>
      <c r="C13" s="47">
        <f>'[43]7. Quality of services'!D13</f>
        <v>189.54499999999999</v>
      </c>
      <c r="D13" s="47">
        <f>'[43]7. Quality of services'!E13</f>
        <v>177.20099999999999</v>
      </c>
      <c r="E13" s="47">
        <f>'[43]7. Quality of services'!F13</f>
        <v>132.11000000000001</v>
      </c>
      <c r="F13" s="47">
        <f>'[43]7. Quality of services'!G13</f>
        <v>178.12799999999999</v>
      </c>
      <c r="G13" s="47">
        <f>'[43]7. Quality of services'!H13</f>
        <v>129.86500000000001</v>
      </c>
      <c r="H13" s="47">
        <f>'[43]7. Quality of services'!I13</f>
        <v>145.46899999999999</v>
      </c>
      <c r="I13" s="47">
        <f>'[43]7. Quality of services'!J13</f>
        <v>125.602</v>
      </c>
      <c r="J13" s="47">
        <f>'[43]7. Quality of services'!K13</f>
        <v>133.12319361918364</v>
      </c>
      <c r="K13" s="47">
        <f>'[44]3.6 Quality of service'!$E$19</f>
        <v>157.29265598174266</v>
      </c>
      <c r="L13" s="47">
        <f>'[45]3.6 Quality of service'!$E$19</f>
        <v>136.76303017287816</v>
      </c>
      <c r="M13" s="47">
        <f>'[46]3.6 Quality of service'!$D$17</f>
        <v>171.37333447924698</v>
      </c>
      <c r="N13" s="2"/>
      <c r="O13" s="77">
        <f t="shared" si="0"/>
        <v>144.83084285061028</v>
      </c>
      <c r="Q13" s="77"/>
      <c r="R13" s="77"/>
      <c r="S13" s="77"/>
      <c r="T13" s="77"/>
      <c r="U13" s="77"/>
      <c r="V13" s="77"/>
      <c r="W13" s="77"/>
      <c r="X13" s="77"/>
      <c r="Y13" s="77"/>
    </row>
    <row r="14" spans="1:25">
      <c r="A14" s="17" t="s">
        <v>54</v>
      </c>
      <c r="B14" s="17" t="s">
        <v>101</v>
      </c>
      <c r="C14" s="47">
        <f>'[47]7. Quality of services'!D13</f>
        <v>132</v>
      </c>
      <c r="D14" s="47">
        <f>'[47]7. Quality of services'!E13</f>
        <v>173</v>
      </c>
      <c r="E14" s="47">
        <f>'[47]7. Quality of services'!F13</f>
        <v>175</v>
      </c>
      <c r="F14" s="47">
        <f>'[47]7. Quality of services'!G13</f>
        <v>201</v>
      </c>
      <c r="G14" s="47">
        <f>'[47]7. Quality of services'!H13</f>
        <v>205</v>
      </c>
      <c r="H14" s="47">
        <f>'[47]7. Quality of services'!I13</f>
        <v>139</v>
      </c>
      <c r="I14" s="47">
        <f>'[47]7. Quality of services'!J13</f>
        <v>160</v>
      </c>
      <c r="J14" s="47">
        <f>'[47]7. Quality of services'!K13</f>
        <v>137</v>
      </c>
      <c r="K14" s="47">
        <f>'[48]3.6 Quality of service'!$E$19</f>
        <v>184.84198609109285</v>
      </c>
      <c r="L14" s="47">
        <f>'[49]3.6 Quality of service'!$E$19</f>
        <v>141.25800000000001</v>
      </c>
      <c r="M14" s="47">
        <f>'[50]3.6 Quality of service'!$D$17</f>
        <v>150.40600000000001</v>
      </c>
      <c r="N14" s="2"/>
      <c r="O14" s="77">
        <f t="shared" si="0"/>
        <v>154.70119721821857</v>
      </c>
      <c r="Q14" s="77"/>
      <c r="R14" s="77"/>
      <c r="S14" s="77"/>
      <c r="T14" s="77"/>
      <c r="U14" s="77"/>
      <c r="V14" s="77"/>
      <c r="W14" s="77"/>
      <c r="X14" s="77"/>
      <c r="Y14" s="77"/>
    </row>
    <row r="15" spans="1:25">
      <c r="A15" s="17" t="s">
        <v>9</v>
      </c>
      <c r="B15" s="17" t="s">
        <v>101</v>
      </c>
      <c r="C15" s="47">
        <f>'[51]7. Quality of services'!D14</f>
        <v>50.549709226702717</v>
      </c>
      <c r="D15" s="47">
        <f>'[51]7. Quality of services'!E14</f>
        <v>60.651178067563961</v>
      </c>
      <c r="E15" s="47">
        <f>'[51]7. Quality of services'!F14</f>
        <v>62.644852531264149</v>
      </c>
      <c r="F15" s="47">
        <f>'[51]7. Quality of services'!G14</f>
        <v>61.490683590337625</v>
      </c>
      <c r="G15" s="47">
        <f>'[51]7. Quality of services'!H14</f>
        <v>56.715930330065632</v>
      </c>
      <c r="H15" s="47">
        <f>'[51]7. Quality of services'!I14</f>
        <v>60.974539338844608</v>
      </c>
      <c r="I15" s="47">
        <f>'[51]7. Quality of services'!J14</f>
        <v>78.651145419293556</v>
      </c>
      <c r="J15" s="47">
        <f>'[51]7. Quality of services'!K14</f>
        <v>73.56</v>
      </c>
      <c r="K15" s="47">
        <f>'[52]3.6 Quality of service'!$E$19</f>
        <v>77.940148650234065</v>
      </c>
      <c r="L15" s="47">
        <f>'[53]3.6 Quality of service'!$E$19</f>
        <v>66.302000000000007</v>
      </c>
      <c r="M15" s="47">
        <f>'[54]3.6 Quality of service'!$D$17</f>
        <v>54.673084815618111</v>
      </c>
      <c r="N15" s="2"/>
      <c r="O15" s="77">
        <f t="shared" si="0"/>
        <v>70.225275777029154</v>
      </c>
      <c r="Q15" s="77"/>
      <c r="R15" s="77"/>
      <c r="S15" s="77"/>
      <c r="T15" s="77"/>
      <c r="U15" s="77"/>
      <c r="V15" s="77"/>
      <c r="W15" s="77"/>
      <c r="X15" s="77"/>
      <c r="Y15" s="77"/>
    </row>
    <row r="16" spans="1:25">
      <c r="L16" s="2"/>
      <c r="Q16" s="77"/>
      <c r="R16" s="77"/>
      <c r="S16" s="77"/>
      <c r="T16" s="77"/>
      <c r="U16" s="77"/>
      <c r="V16" s="77"/>
      <c r="W16" s="77"/>
      <c r="X16" s="77"/>
      <c r="Y16" s="77"/>
    </row>
    <row r="17" spans="1:25">
      <c r="A17" s="23" t="s">
        <v>37</v>
      </c>
      <c r="L17" s="2"/>
      <c r="Q17" s="77"/>
      <c r="R17" s="77"/>
      <c r="S17" s="77"/>
      <c r="T17" s="77"/>
      <c r="U17" s="77"/>
      <c r="V17" s="77"/>
      <c r="W17" s="77"/>
      <c r="X17" s="77"/>
      <c r="Y17" s="77"/>
    </row>
    <row r="18" spans="1:25">
      <c r="A18" s="17" t="s">
        <v>1</v>
      </c>
      <c r="B18" s="17" t="s">
        <v>102</v>
      </c>
      <c r="C18" s="4">
        <f>'[3]7. Quality of services'!D15</f>
        <v>0.71</v>
      </c>
      <c r="D18" s="4">
        <f>'[3]7. Quality of services'!E15</f>
        <v>0.64</v>
      </c>
      <c r="E18" s="4">
        <f>'[3]7. Quality of services'!F15</f>
        <v>0.56000000000000005</v>
      </c>
      <c r="F18" s="4">
        <f>'[3]7. Quality of services'!G15</f>
        <v>0.59</v>
      </c>
      <c r="G18" s="4">
        <f>'[3]7. Quality of services'!H15</f>
        <v>0.62</v>
      </c>
      <c r="H18" s="4">
        <f>'[3]7. Quality of services'!I15</f>
        <v>0.8</v>
      </c>
      <c r="I18" s="4">
        <f>'[3]7. Quality of services'!J15</f>
        <v>0.63</v>
      </c>
      <c r="J18" s="4">
        <f>'[3]7. Quality of services'!K15</f>
        <v>0.59</v>
      </c>
      <c r="K18" s="47">
        <f>'[4]3.6 Quality of service'!$E$21</f>
        <v>0.498</v>
      </c>
      <c r="L18" s="52">
        <f>'[5]3.6 Quality of service'!$E$21</f>
        <v>0.60499999999999998</v>
      </c>
      <c r="M18" s="47">
        <f>'[6]3.6 Quality of service'!$D$19</f>
        <v>0.67451152128542491</v>
      </c>
      <c r="O18" s="77">
        <f t="shared" ref="O18:O30" si="1">AVERAGE(I18:M18)</f>
        <v>0.59950230425708495</v>
      </c>
      <c r="Q18" s="77"/>
      <c r="R18" s="77"/>
      <c r="S18" s="77"/>
      <c r="T18" s="77"/>
      <c r="U18" s="77"/>
      <c r="V18" s="77"/>
      <c r="W18" s="77"/>
      <c r="X18" s="77"/>
      <c r="Y18" s="77"/>
    </row>
    <row r="19" spans="1:25">
      <c r="A19" s="17" t="s">
        <v>78</v>
      </c>
      <c r="B19" s="17" t="s">
        <v>102</v>
      </c>
      <c r="C19" s="33">
        <f>'[7]7. Quality of services'!D15</f>
        <v>1.155</v>
      </c>
      <c r="D19" s="33">
        <f>'[7]7. Quality of services'!E15</f>
        <v>1.0429999999999999</v>
      </c>
      <c r="E19" s="33">
        <f>'[7]7. Quality of services'!F15</f>
        <v>1.151</v>
      </c>
      <c r="F19" s="33">
        <f>'[7]7. Quality of services'!G15</f>
        <v>1.3009999999999999</v>
      </c>
      <c r="G19" s="33">
        <f>'[7]7. Quality of services'!H15</f>
        <v>1.06</v>
      </c>
      <c r="H19" s="33">
        <f>'[7]7. Quality of services'!I15</f>
        <v>1.032</v>
      </c>
      <c r="I19" s="33">
        <f>'[7]7. Quality of services'!J15</f>
        <v>0.8831</v>
      </c>
      <c r="J19" s="33">
        <f>'[7]7. Quality of services'!K15</f>
        <v>0.73250000000000004</v>
      </c>
      <c r="K19" s="47">
        <f>'[8]3.6 Quality of service'!$E$21</f>
        <v>0.82499999999999996</v>
      </c>
      <c r="L19" s="47">
        <f>'[9]3.6 Quality of service'!$E$21</f>
        <v>0.68500000000000005</v>
      </c>
      <c r="M19" s="47">
        <f>'[10]3.6 Quality of service'!D$19</f>
        <v>0.70284847293009545</v>
      </c>
      <c r="N19" s="2"/>
      <c r="O19" s="77">
        <f t="shared" si="1"/>
        <v>0.7656896945860191</v>
      </c>
      <c r="Q19" s="77"/>
      <c r="R19" s="77"/>
      <c r="S19" s="77"/>
      <c r="T19" s="77"/>
      <c r="U19" s="77"/>
      <c r="V19" s="77"/>
      <c r="W19" s="77"/>
      <c r="X19" s="77"/>
      <c r="Y19" s="77"/>
    </row>
    <row r="20" spans="1:25">
      <c r="A20" s="17" t="s">
        <v>2</v>
      </c>
      <c r="B20" s="17" t="s">
        <v>102</v>
      </c>
      <c r="C20" s="33">
        <f>'[11]7. Quality of services'!D15</f>
        <v>0.53116918957042869</v>
      </c>
      <c r="D20" s="33">
        <f>'[11]7. Quality of services'!E15</f>
        <v>0.46830098593350739</v>
      </c>
      <c r="E20" s="33">
        <f>'[11]7. Quality of services'!F15</f>
        <v>0.30723715961154247</v>
      </c>
      <c r="F20" s="33">
        <f>'[11]7. Quality of services'!G15</f>
        <v>0.5459891504699973</v>
      </c>
      <c r="G20" s="33">
        <f>'[11]7. Quality of services'!H15</f>
        <v>0.43566630861019201</v>
      </c>
      <c r="H20" s="33">
        <f>'[11]7. Quality of services'!I15</f>
        <v>0.40297597267960433</v>
      </c>
      <c r="I20" s="33">
        <f>'[11]7. Quality of services'!J15</f>
        <v>0.46894750174147937</v>
      </c>
      <c r="J20" s="33">
        <f>'[11]7. Quality of services'!K15</f>
        <v>0.39452718435981182</v>
      </c>
      <c r="K20" s="47">
        <f>'[12]3.6 Quality of service'!$E$21</f>
        <v>0.41583952847700179</v>
      </c>
      <c r="L20" s="47">
        <f>'[13]3.6 Quality of service'!$E$21</f>
        <v>0.39037790116430998</v>
      </c>
      <c r="M20" s="47">
        <f>'[14]3.6 Quality of service'!$D$19</f>
        <v>0.4</v>
      </c>
      <c r="N20" s="2"/>
      <c r="O20" s="77">
        <f t="shared" si="1"/>
        <v>0.41393842314852058</v>
      </c>
      <c r="Q20" s="77"/>
      <c r="R20" s="77"/>
      <c r="S20" s="77"/>
      <c r="T20" s="77"/>
      <c r="U20" s="77"/>
      <c r="V20" s="77"/>
      <c r="W20" s="77"/>
      <c r="X20" s="77"/>
      <c r="Y20" s="77"/>
    </row>
    <row r="21" spans="1:25">
      <c r="A21" s="17" t="s">
        <v>3</v>
      </c>
      <c r="B21" s="17" t="s">
        <v>102</v>
      </c>
      <c r="C21" s="33">
        <f>'[15]7. Quality of services'!D15</f>
        <v>1.212</v>
      </c>
      <c r="D21" s="33">
        <f>'[15]7. Quality of services'!E15</f>
        <v>1.22</v>
      </c>
      <c r="E21" s="33">
        <f>'[15]7. Quality of services'!F15</f>
        <v>1.232</v>
      </c>
      <c r="F21" s="33">
        <f>'[15]7. Quality of services'!G15</f>
        <v>1.1020000000000001</v>
      </c>
      <c r="G21" s="33">
        <f>'[15]7. Quality of services'!H15</f>
        <v>0.97299999999999998</v>
      </c>
      <c r="H21" s="33">
        <f>'[15]7. Quality of services'!I15</f>
        <v>0.89800000000000002</v>
      </c>
      <c r="I21" s="33">
        <f>'[15]7. Quality of services'!J15</f>
        <v>1.0129999999999999</v>
      </c>
      <c r="J21" s="33">
        <f>'[15]7. Quality of services'!K15</f>
        <v>1.216</v>
      </c>
      <c r="K21" s="47">
        <f>'[16]3.6 Quality of service'!$E$21</f>
        <v>0.98</v>
      </c>
      <c r="L21" s="47">
        <f>'[17]3.6 Quality of service'!$E$21</f>
        <v>1.0922912325560177</v>
      </c>
      <c r="M21" s="47">
        <f>'[18]3.6 Quality of service'!$D$19</f>
        <v>0.87428641812436947</v>
      </c>
      <c r="N21" s="2"/>
      <c r="O21" s="77">
        <f t="shared" si="1"/>
        <v>1.0351155301360775</v>
      </c>
      <c r="Q21" s="77"/>
      <c r="R21" s="77"/>
      <c r="S21" s="77"/>
      <c r="T21" s="77"/>
      <c r="U21" s="77"/>
      <c r="V21" s="77"/>
      <c r="W21" s="77"/>
      <c r="X21" s="77"/>
      <c r="Y21" s="77"/>
    </row>
    <row r="22" spans="1:25">
      <c r="A22" s="17" t="s">
        <v>4</v>
      </c>
      <c r="B22" s="17" t="s">
        <v>102</v>
      </c>
      <c r="C22" s="33">
        <f>'[19]7. Quality of services'!D15</f>
        <v>1.716266337308054</v>
      </c>
      <c r="D22" s="33">
        <f>'[19]7. Quality of services'!E15</f>
        <v>1.2549291133505334</v>
      </c>
      <c r="E22" s="33">
        <f>'[19]7. Quality of services'!F15</f>
        <v>1.3765181505089055</v>
      </c>
      <c r="F22" s="33">
        <f>'[19]7. Quality of services'!G15</f>
        <v>1.2971883730919729</v>
      </c>
      <c r="G22" s="33">
        <f>'[19]7. Quality of services'!H15</f>
        <v>1.3827279444217415</v>
      </c>
      <c r="H22" s="33">
        <f>'[19]7. Quality of services'!I15</f>
        <v>1.1003184196552347</v>
      </c>
      <c r="I22" s="33">
        <f>'[19]7. Quality of services'!J15</f>
        <v>0.84748513441479567</v>
      </c>
      <c r="J22" s="33">
        <f>'[19]7. Quality of services'!K15</f>
        <v>0.88238290580541878</v>
      </c>
      <c r="K22" s="47">
        <f>'[20]3.6 Quality of service'!$E$21</f>
        <v>0.89290000000000003</v>
      </c>
      <c r="L22" s="47">
        <f>'[21]3.6 Quality of service'!$E$21</f>
        <v>0.91400000000000003</v>
      </c>
      <c r="M22" s="47">
        <f>'[22]3.6 Quality of service'!$D$19</f>
        <v>0.86429999999999996</v>
      </c>
      <c r="N22" s="2"/>
      <c r="O22" s="77">
        <f t="shared" si="1"/>
        <v>0.88021360804404281</v>
      </c>
      <c r="Q22" s="77"/>
      <c r="R22" s="77"/>
      <c r="S22" s="77"/>
      <c r="T22" s="77"/>
      <c r="U22" s="77"/>
      <c r="V22" s="77"/>
      <c r="W22" s="77"/>
      <c r="X22" s="77"/>
      <c r="Y22" s="77"/>
    </row>
    <row r="23" spans="1:25">
      <c r="A23" s="17" t="s">
        <v>10</v>
      </c>
      <c r="B23" s="17" t="s">
        <v>102</v>
      </c>
      <c r="C23" s="47">
        <f>'[23]7. Quality of services'!D15</f>
        <v>3.9460000000000002</v>
      </c>
      <c r="D23" s="47">
        <f>'[23]7. Quality of services'!E15</f>
        <v>2.7490000000000001</v>
      </c>
      <c r="E23" s="47">
        <f>'[23]7. Quality of services'!F15</f>
        <v>2.9390000000000001</v>
      </c>
      <c r="F23" s="47">
        <f>'[23]7. Quality of services'!G15</f>
        <v>3.423</v>
      </c>
      <c r="G23" s="47">
        <f>'[23]7. Quality of services'!H15</f>
        <v>3.2730000000000001</v>
      </c>
      <c r="H23" s="47">
        <f>'[23]7. Quality of services'!I15</f>
        <v>2.831</v>
      </c>
      <c r="I23" s="47">
        <f>'[23]7. Quality of services'!J15</f>
        <v>2.71</v>
      </c>
      <c r="J23" s="47">
        <f>'[23]7. Quality of services'!K15</f>
        <v>2.4220000000000002</v>
      </c>
      <c r="K23" s="47">
        <f>'[24]3.6 Quality of service'!$E$21</f>
        <v>2.3170000000000002</v>
      </c>
      <c r="L23" s="47">
        <f>'[25]3.6 Quality of service'!$E$21</f>
        <v>2.5192000000000001</v>
      </c>
      <c r="M23" s="47">
        <f>'[26]3.6 Quality of service'!$D$19</f>
        <v>2.4944999999999999</v>
      </c>
      <c r="N23" s="2"/>
      <c r="O23" s="77">
        <f t="shared" si="1"/>
        <v>2.49254</v>
      </c>
      <c r="Q23" s="77"/>
      <c r="R23" s="77"/>
      <c r="S23" s="77"/>
      <c r="T23" s="77"/>
      <c r="U23" s="77"/>
      <c r="V23" s="77"/>
      <c r="W23" s="77"/>
      <c r="X23" s="77"/>
      <c r="Y23" s="77"/>
    </row>
    <row r="24" spans="1:25">
      <c r="A24" s="17" t="s">
        <v>5</v>
      </c>
      <c r="B24" s="17" t="s">
        <v>102</v>
      </c>
      <c r="C24" s="47">
        <f>'[27]7. Quality of services'!D15</f>
        <v>2.637</v>
      </c>
      <c r="D24" s="47">
        <f>'[27]7. Quality of services'!E15</f>
        <v>2.2989999999999999</v>
      </c>
      <c r="E24" s="47">
        <f>'[27]7. Quality of services'!F15</f>
        <v>2.2549999999999999</v>
      </c>
      <c r="F24" s="47">
        <f>'[27]7. Quality of services'!G15</f>
        <v>2.3370000000000002</v>
      </c>
      <c r="G24" s="47">
        <f>'[27]7. Quality of services'!H15</f>
        <v>1.996</v>
      </c>
      <c r="H24" s="47">
        <f>'[27]7. Quality of services'!I15</f>
        <v>1.8660000000000001</v>
      </c>
      <c r="I24" s="47">
        <f>'[27]7. Quality of services'!J15</f>
        <v>2.121</v>
      </c>
      <c r="J24" s="47">
        <f>'[27]7. Quality of services'!K15</f>
        <v>1.847</v>
      </c>
      <c r="K24" s="47">
        <f>'[28]3.6 Quality of service'!$E$21</f>
        <v>1.726</v>
      </c>
      <c r="L24" s="47">
        <f>'[29]3.6 Quality of service'!$E$21</f>
        <v>1.96816573822055</v>
      </c>
      <c r="M24" s="47">
        <f>'[30]3.6 Quality of service'!$D$19</f>
        <v>1.7670367702052401</v>
      </c>
      <c r="N24" s="2"/>
      <c r="O24" s="77">
        <f t="shared" si="1"/>
        <v>1.8858405016851578</v>
      </c>
      <c r="Q24" s="77"/>
      <c r="R24" s="77"/>
      <c r="S24" s="77"/>
      <c r="T24" s="77"/>
      <c r="U24" s="77"/>
      <c r="V24" s="77"/>
      <c r="W24" s="77"/>
      <c r="X24" s="77"/>
      <c r="Y24" s="77"/>
    </row>
    <row r="25" spans="1:25">
      <c r="A25" s="17" t="s">
        <v>6</v>
      </c>
      <c r="B25" s="17" t="s">
        <v>102</v>
      </c>
      <c r="C25" s="47">
        <f>'[31]7. Quality of services'!D15</f>
        <v>1.1893913553633313</v>
      </c>
      <c r="D25" s="47">
        <f>'[31]7. Quality of services'!E15</f>
        <v>1.3185788933501383</v>
      </c>
      <c r="E25" s="47">
        <f>'[31]7. Quality of services'!F15</f>
        <v>1.0038463063563186</v>
      </c>
      <c r="F25" s="47">
        <f>'[31]7. Quality of services'!G15</f>
        <v>1.17244949106122</v>
      </c>
      <c r="G25" s="47">
        <f>'[31]7. Quality of services'!H15</f>
        <v>0.93637878797666652</v>
      </c>
      <c r="H25" s="47">
        <f>'[31]7. Quality of services'!I15</f>
        <v>0.9028535687160536</v>
      </c>
      <c r="I25" s="47">
        <f>'[31]7. Quality of services'!J15</f>
        <v>0.92303737580823209</v>
      </c>
      <c r="J25" s="47">
        <f>'[31]7. Quality of services'!K15</f>
        <v>1.1120691277483299</v>
      </c>
      <c r="K25" s="80">
        <f>'[32]3.6 Quality of service'!$E$21</f>
        <v>0.9563105119194546</v>
      </c>
      <c r="L25" s="47">
        <f>'[33]3.6 Quality of service'!$E$21</f>
        <v>0.77269092798451855</v>
      </c>
      <c r="M25" s="47">
        <f>'[34]3.6 Quality of service'!$D$19</f>
        <v>0.8770747680108496</v>
      </c>
      <c r="N25" s="2"/>
      <c r="O25" s="77">
        <f t="shared" si="1"/>
        <v>0.92823654229427688</v>
      </c>
      <c r="Q25" s="77"/>
      <c r="R25" s="77"/>
      <c r="S25" s="77"/>
      <c r="T25" s="77"/>
      <c r="U25" s="77"/>
      <c r="V25" s="77"/>
      <c r="W25" s="77"/>
      <c r="X25" s="77"/>
      <c r="Y25" s="77"/>
    </row>
    <row r="26" spans="1:25">
      <c r="A26" s="17" t="s">
        <v>7</v>
      </c>
      <c r="B26" s="17" t="s">
        <v>102</v>
      </c>
      <c r="C26" s="47">
        <f>'[35]7. Quality of services'!D15</f>
        <v>1.8943911242300253</v>
      </c>
      <c r="D26" s="47">
        <f>'[35]7. Quality of services'!E15</f>
        <v>1.7331809061082342</v>
      </c>
      <c r="E26" s="47">
        <f>'[35]7. Quality of services'!F15</f>
        <v>1.4981115522120945</v>
      </c>
      <c r="F26" s="47">
        <f>'[35]7. Quality of services'!G15</f>
        <v>1.8116852906586625</v>
      </c>
      <c r="G26" s="47">
        <f>'[35]7. Quality of services'!H15</f>
        <v>1.7668429686616296</v>
      </c>
      <c r="H26" s="47">
        <f>'[35]7. Quality of services'!I15</f>
        <v>1.351228016770367</v>
      </c>
      <c r="I26" s="47">
        <f>'[35]7. Quality of services'!J15</f>
        <v>1.3730259960714726</v>
      </c>
      <c r="J26" s="47">
        <f>'[35]7. Quality of services'!K15</f>
        <v>1.4363829921479709</v>
      </c>
      <c r="K26" s="47">
        <f>'[36]3.6 Quality of service'!$E$21</f>
        <v>1.6008364060207474</v>
      </c>
      <c r="L26" s="47">
        <f>'[37]3.6 Quality of service'!$E$21</f>
        <v>1.3803508909186999</v>
      </c>
      <c r="M26" s="47">
        <f>'[38]3.6 Quality of service'!$D$19</f>
        <v>1.3</v>
      </c>
      <c r="N26" s="2"/>
      <c r="O26" s="77">
        <f t="shared" si="1"/>
        <v>1.418119257031778</v>
      </c>
      <c r="Q26" s="77"/>
      <c r="R26" s="77"/>
      <c r="S26" s="77"/>
      <c r="T26" s="77"/>
      <c r="U26" s="77"/>
      <c r="V26" s="77"/>
      <c r="W26" s="77"/>
      <c r="X26" s="77"/>
      <c r="Y26" s="77"/>
    </row>
    <row r="27" spans="1:25">
      <c r="A27" s="17" t="s">
        <v>8</v>
      </c>
      <c r="B27" s="17" t="s">
        <v>102</v>
      </c>
      <c r="C27" s="47">
        <f>'[39]7. Quality of services'!D15</f>
        <v>1.663</v>
      </c>
      <c r="D27" s="47">
        <f>'[39]7. Quality of services'!E15</f>
        <v>1.736</v>
      </c>
      <c r="E27" s="47">
        <f>'[39]7. Quality of services'!F15</f>
        <v>1.353</v>
      </c>
      <c r="F27" s="47">
        <f>'[39]7. Quality of services'!G15</f>
        <v>1.3740000000000001</v>
      </c>
      <c r="G27" s="47">
        <f>'[39]7. Quality of services'!H15</f>
        <v>1.649</v>
      </c>
      <c r="H27" s="47">
        <f>'[39]7. Quality of services'!I15</f>
        <v>1.546</v>
      </c>
      <c r="I27" s="47">
        <f>'[39]7. Quality of services'!J15</f>
        <v>1.3080000000000001</v>
      </c>
      <c r="J27" s="47">
        <f>'[39]7. Quality of services'!K15</f>
        <v>1.3260000000000001</v>
      </c>
      <c r="K27" s="47">
        <f>'[40]3.6 Quality of service'!$E$21</f>
        <v>1.446</v>
      </c>
      <c r="L27" s="47">
        <f>'[41]3.6 Quality of service'!$E$21</f>
        <v>1.123</v>
      </c>
      <c r="M27" s="47">
        <f>'[42]3.6 Quality of service'!$D$19</f>
        <v>1.2010000000000001</v>
      </c>
      <c r="N27" s="2"/>
      <c r="O27" s="77">
        <f t="shared" si="1"/>
        <v>1.2807999999999999</v>
      </c>
      <c r="Q27" s="77"/>
      <c r="R27" s="77"/>
      <c r="S27" s="77"/>
      <c r="T27" s="77"/>
      <c r="U27" s="77"/>
      <c r="V27" s="77"/>
      <c r="W27" s="77"/>
      <c r="X27" s="77"/>
      <c r="Y27" s="77"/>
    </row>
    <row r="28" spans="1:25">
      <c r="A28" s="17" t="s">
        <v>73</v>
      </c>
      <c r="B28" s="17" t="s">
        <v>102</v>
      </c>
      <c r="C28" s="47">
        <f>'[43]7. Quality of services'!D15</f>
        <v>2.4910000000000001</v>
      </c>
      <c r="D28" s="47">
        <f>'[43]7. Quality of services'!E15</f>
        <v>2.327</v>
      </c>
      <c r="E28" s="47">
        <f>'[43]7. Quality of services'!F15</f>
        <v>1.956</v>
      </c>
      <c r="F28" s="47">
        <f>'[43]7. Quality of services'!G15</f>
        <v>2.1840000000000002</v>
      </c>
      <c r="G28" s="47">
        <f>'[43]7. Quality of services'!H15</f>
        <v>1.91</v>
      </c>
      <c r="H28" s="47">
        <f>'[43]7. Quality of services'!I15</f>
        <v>1.9410000000000001</v>
      </c>
      <c r="I28" s="47">
        <f>'[43]7. Quality of services'!J15</f>
        <v>1.655</v>
      </c>
      <c r="J28" s="47">
        <f>'[43]7. Quality of services'!K15</f>
        <v>1.8993122083398335</v>
      </c>
      <c r="K28" s="47">
        <f>'[44]3.6 Quality of service'!$E$21</f>
        <v>1.8036305870244551</v>
      </c>
      <c r="L28" s="47">
        <f>'[45]3.6 Quality of service'!$E$21</f>
        <v>1.7261785833911745</v>
      </c>
      <c r="M28" s="47">
        <f>'[46]3.6 Quality of service'!$D$19</f>
        <v>1.6889534883720929</v>
      </c>
      <c r="N28" s="2"/>
      <c r="O28" s="77">
        <f t="shared" si="1"/>
        <v>1.7546149734255114</v>
      </c>
      <c r="Q28" s="77"/>
      <c r="R28" s="77"/>
      <c r="S28" s="77"/>
      <c r="T28" s="77"/>
      <c r="U28" s="77"/>
      <c r="V28" s="77"/>
      <c r="W28" s="77"/>
      <c r="X28" s="77"/>
      <c r="Y28" s="77"/>
    </row>
    <row r="29" spans="1:25">
      <c r="A29" s="17" t="s">
        <v>54</v>
      </c>
      <c r="B29" s="17" t="s">
        <v>102</v>
      </c>
      <c r="C29" s="47">
        <f>'[47]7. Quality of services'!D15</f>
        <v>2.04</v>
      </c>
      <c r="D29" s="47">
        <f>'[47]7. Quality of services'!E15</f>
        <v>1.77</v>
      </c>
      <c r="E29" s="47">
        <f>'[47]7. Quality of services'!F15</f>
        <v>1.77</v>
      </c>
      <c r="F29" s="47">
        <f>'[47]7. Quality of services'!G15</f>
        <v>1.72</v>
      </c>
      <c r="G29" s="47">
        <f>'[47]7. Quality of services'!H15</f>
        <v>1.84</v>
      </c>
      <c r="H29" s="47">
        <f>'[47]7. Quality of services'!I15</f>
        <v>1.45</v>
      </c>
      <c r="I29" s="47">
        <f>'[47]7. Quality of services'!J15</f>
        <v>1.73</v>
      </c>
      <c r="J29" s="47">
        <f>'[47]7. Quality of services'!K15</f>
        <v>1.46</v>
      </c>
      <c r="K29" s="47">
        <f>'[48]3.6 Quality of service'!$E$21</f>
        <v>1.8184398931432033</v>
      </c>
      <c r="L29" s="47">
        <f>'[49]3.6 Quality of service'!$E$21</f>
        <v>1.298</v>
      </c>
      <c r="M29" s="47">
        <f>'[50]3.6 Quality of service'!$D$19</f>
        <v>1.5589999999999999</v>
      </c>
      <c r="N29" s="2"/>
      <c r="O29" s="77">
        <f t="shared" si="1"/>
        <v>1.5730879786286407</v>
      </c>
      <c r="Q29" s="77"/>
      <c r="R29" s="77"/>
      <c r="S29" s="77"/>
      <c r="T29" s="77"/>
      <c r="U29" s="77"/>
      <c r="V29" s="77"/>
      <c r="W29" s="77"/>
      <c r="X29" s="77"/>
      <c r="Y29" s="77"/>
    </row>
    <row r="30" spans="1:25">
      <c r="A30" s="17" t="s">
        <v>9</v>
      </c>
      <c r="B30" s="17" t="s">
        <v>102</v>
      </c>
      <c r="C30" s="47">
        <f>'[51]7. Quality of services'!D16</f>
        <v>0.92048660031994323</v>
      </c>
      <c r="D30" s="47">
        <f>'[51]7. Quality of services'!E16</f>
        <v>1.0668538396157832</v>
      </c>
      <c r="E30" s="47">
        <f>'[51]7. Quality of services'!F16</f>
        <v>1.3045296038769671</v>
      </c>
      <c r="F30" s="47">
        <f>'[51]7. Quality of services'!G16</f>
        <v>1.3012188970088399</v>
      </c>
      <c r="G30" s="47">
        <f>'[51]7. Quality of services'!H16</f>
        <v>0.98301365450156131</v>
      </c>
      <c r="H30" s="47">
        <f>'[51]7. Quality of services'!I16</f>
        <v>0.95967116572529565</v>
      </c>
      <c r="I30" s="47">
        <f>'[51]7. Quality of services'!J16</f>
        <v>1.0918057254938589</v>
      </c>
      <c r="J30" s="47">
        <f>'[51]7. Quality of services'!K16</f>
        <v>1.01</v>
      </c>
      <c r="K30" s="47">
        <f>'[52]3.6 Quality of service'!$E$21</f>
        <v>1.0003570592197448</v>
      </c>
      <c r="L30" s="47">
        <f>'[53]3.6 Quality of service'!$E$21</f>
        <v>0.90800000000000003</v>
      </c>
      <c r="M30" s="47">
        <f>'[54]3.6 Quality of service'!$D$19</f>
        <v>0.80517788089713904</v>
      </c>
      <c r="N30" s="2"/>
      <c r="O30" s="77">
        <f t="shared" si="1"/>
        <v>0.96306813312214845</v>
      </c>
      <c r="Q30" s="77"/>
      <c r="R30" s="77"/>
      <c r="S30" s="77"/>
      <c r="T30" s="77"/>
      <c r="U30" s="77"/>
      <c r="V30" s="77"/>
      <c r="W30" s="77"/>
      <c r="X30" s="77"/>
      <c r="Y30" s="77"/>
    </row>
    <row r="31" spans="1:25">
      <c r="K31" s="2"/>
      <c r="L31" s="2"/>
      <c r="Q31" s="77"/>
      <c r="R31" s="77"/>
      <c r="S31" s="77"/>
      <c r="T31" s="77"/>
      <c r="U31" s="77"/>
      <c r="V31" s="77"/>
      <c r="W31" s="77"/>
      <c r="X31" s="77"/>
      <c r="Y31" s="77"/>
    </row>
    <row r="32" spans="1:25">
      <c r="A32" s="23" t="s">
        <v>50</v>
      </c>
      <c r="L32" s="2"/>
      <c r="Q32" s="77"/>
      <c r="R32" s="77"/>
      <c r="S32" s="77"/>
      <c r="T32" s="77"/>
      <c r="U32" s="77"/>
      <c r="V32" s="77"/>
      <c r="W32" s="77"/>
      <c r="X32" s="77"/>
      <c r="Y32" s="77"/>
    </row>
    <row r="33" spans="1:25">
      <c r="A33" s="17" t="s">
        <v>1</v>
      </c>
      <c r="B33" s="17" t="s">
        <v>103</v>
      </c>
      <c r="C33" s="4">
        <f t="shared" ref="C33:L33" si="2">C3/C18</f>
        <v>49.295774647887328</v>
      </c>
      <c r="D33" s="4">
        <f t="shared" si="2"/>
        <v>69.21875</v>
      </c>
      <c r="E33" s="4">
        <f t="shared" si="2"/>
        <v>45.714285714285715</v>
      </c>
      <c r="F33" s="4">
        <f t="shared" si="2"/>
        <v>50.677966101694913</v>
      </c>
      <c r="G33" s="4">
        <f t="shared" si="2"/>
        <v>41.612903225806456</v>
      </c>
      <c r="H33" s="4">
        <f t="shared" si="2"/>
        <v>59.625</v>
      </c>
      <c r="I33" s="4">
        <f t="shared" si="2"/>
        <v>51.587301587301589</v>
      </c>
      <c r="J33" s="4">
        <f t="shared" si="2"/>
        <v>48.644067796610173</v>
      </c>
      <c r="K33" s="4">
        <f t="shared" si="2"/>
        <v>53.827309236947791</v>
      </c>
      <c r="L33" s="4">
        <f t="shared" si="2"/>
        <v>54.330578512396691</v>
      </c>
      <c r="M33" s="4">
        <f t="shared" ref="M33" si="3">M3/M18</f>
        <v>52.031968167962603</v>
      </c>
      <c r="O33" s="84">
        <f>AVERAGE(I33:M33)</f>
        <v>52.084245060243767</v>
      </c>
      <c r="Q33" s="77"/>
      <c r="R33" s="77"/>
      <c r="S33" s="77"/>
      <c r="T33" s="77"/>
      <c r="U33" s="77"/>
      <c r="V33" s="77"/>
      <c r="W33" s="77"/>
      <c r="X33" s="77"/>
      <c r="Y33" s="77"/>
    </row>
    <row r="34" spans="1:25">
      <c r="A34" s="17" t="s">
        <v>78</v>
      </c>
      <c r="B34" s="17" t="s">
        <v>103</v>
      </c>
      <c r="C34" s="4">
        <f t="shared" ref="C34:L34" si="4">C4/C19</f>
        <v>75.316017316017309</v>
      </c>
      <c r="D34" s="4">
        <f t="shared" si="4"/>
        <v>81.975071907957826</v>
      </c>
      <c r="E34" s="4">
        <f t="shared" si="4"/>
        <v>84.300608166811472</v>
      </c>
      <c r="F34" s="4">
        <f t="shared" si="4"/>
        <v>81.860107609531127</v>
      </c>
      <c r="G34" s="4">
        <f t="shared" si="4"/>
        <v>74.471698113207538</v>
      </c>
      <c r="H34" s="4">
        <f t="shared" si="4"/>
        <v>86.560077519379846</v>
      </c>
      <c r="I34" s="4">
        <f t="shared" si="4"/>
        <v>89.763333710791528</v>
      </c>
      <c r="J34" s="4">
        <f t="shared" si="4"/>
        <v>92.313993174061437</v>
      </c>
      <c r="K34" s="4">
        <f t="shared" si="4"/>
        <v>92.75151515151515</v>
      </c>
      <c r="L34" s="4">
        <f t="shared" si="4"/>
        <v>104.23357664233576</v>
      </c>
      <c r="M34" s="4">
        <f t="shared" ref="M34" si="5">M4/M19</f>
        <v>108.14118330036149</v>
      </c>
      <c r="O34" s="84">
        <f t="shared" ref="O34:O45" si="6">AVERAGE(I34:M34)</f>
        <v>97.440720395813074</v>
      </c>
      <c r="Q34" s="77"/>
      <c r="R34" s="77"/>
      <c r="S34" s="77"/>
      <c r="T34" s="77"/>
      <c r="U34" s="77"/>
      <c r="V34" s="77"/>
      <c r="W34" s="77"/>
      <c r="X34" s="77"/>
      <c r="Y34" s="77"/>
    </row>
    <row r="35" spans="1:25">
      <c r="A35" s="17" t="s">
        <v>2</v>
      </c>
      <c r="B35" s="17" t="s">
        <v>103</v>
      </c>
      <c r="C35" s="4">
        <f t="shared" ref="C35:L35" si="7">C5/C20</f>
        <v>46.549331639981773</v>
      </c>
      <c r="D35" s="4">
        <f t="shared" si="7"/>
        <v>46.778072990836911</v>
      </c>
      <c r="E35" s="4">
        <f t="shared" si="7"/>
        <v>54.033546360250291</v>
      </c>
      <c r="F35" s="4">
        <f t="shared" si="7"/>
        <v>54.247832955889493</v>
      </c>
      <c r="G35" s="4">
        <f t="shared" si="7"/>
        <v>68.908699333103712</v>
      </c>
      <c r="H35" s="4">
        <f t="shared" si="7"/>
        <v>56.357007455077166</v>
      </c>
      <c r="I35" s="4">
        <f t="shared" si="7"/>
        <v>62.150104994499671</v>
      </c>
      <c r="J35" s="4">
        <f t="shared" si="7"/>
        <v>68.243220547109587</v>
      </c>
      <c r="K35" s="4">
        <f t="shared" si="7"/>
        <v>82.981936195422946</v>
      </c>
      <c r="L35" s="4">
        <f t="shared" si="7"/>
        <v>67.577435267048216</v>
      </c>
      <c r="M35" s="4">
        <f t="shared" ref="M35" si="8">M5/M20</f>
        <v>61.25</v>
      </c>
      <c r="O35" s="84">
        <f t="shared" si="6"/>
        <v>68.440539400816093</v>
      </c>
      <c r="Q35" s="77"/>
      <c r="R35" s="77"/>
      <c r="S35" s="77"/>
      <c r="T35" s="77"/>
      <c r="U35" s="77"/>
      <c r="V35" s="77"/>
      <c r="W35" s="77"/>
      <c r="X35" s="77"/>
      <c r="Y35" s="77"/>
    </row>
    <row r="36" spans="1:25">
      <c r="A36" s="17" t="s">
        <v>3</v>
      </c>
      <c r="B36" s="17" t="s">
        <v>103</v>
      </c>
      <c r="C36" s="4">
        <f t="shared" ref="C36:L36" si="9">C6/C21</f>
        <v>81.930693069306926</v>
      </c>
      <c r="D36" s="4">
        <f t="shared" si="9"/>
        <v>78.688524590163937</v>
      </c>
      <c r="E36" s="4">
        <f t="shared" si="9"/>
        <v>82.548701298701303</v>
      </c>
      <c r="F36" s="4">
        <f t="shared" si="9"/>
        <v>87.386569872958248</v>
      </c>
      <c r="G36" s="4">
        <f t="shared" si="9"/>
        <v>81.603288797533409</v>
      </c>
      <c r="H36" s="4">
        <f t="shared" si="9"/>
        <v>85.634743875278403</v>
      </c>
      <c r="I36" s="4">
        <f t="shared" si="9"/>
        <v>92.102665350444227</v>
      </c>
      <c r="J36" s="4">
        <f t="shared" si="9"/>
        <v>85.77302631578948</v>
      </c>
      <c r="K36" s="4">
        <f t="shared" si="9"/>
        <v>84.285714285714278</v>
      </c>
      <c r="L36" s="4">
        <f t="shared" si="9"/>
        <v>83.605823903445881</v>
      </c>
      <c r="M36" s="4">
        <f t="shared" ref="M36" si="10">M6/M21</f>
        <v>99.17930865054231</v>
      </c>
      <c r="O36" s="84">
        <f t="shared" si="6"/>
        <v>88.989307701187229</v>
      </c>
      <c r="Q36" s="77"/>
      <c r="R36" s="77"/>
      <c r="S36" s="77"/>
      <c r="T36" s="77"/>
      <c r="U36" s="77"/>
      <c r="V36" s="77"/>
      <c r="W36" s="77"/>
      <c r="X36" s="77"/>
      <c r="Y36" s="77"/>
    </row>
    <row r="37" spans="1:25">
      <c r="A37" s="17" t="s">
        <v>4</v>
      </c>
      <c r="B37" s="17" t="s">
        <v>103</v>
      </c>
      <c r="C37" s="4">
        <f t="shared" ref="C37:L37" si="11">C7/C22</f>
        <v>74.710106468815809</v>
      </c>
      <c r="D37" s="4">
        <f t="shared" si="11"/>
        <v>70.299487828834017</v>
      </c>
      <c r="E37" s="4">
        <f t="shared" si="11"/>
        <v>72.897785654019771</v>
      </c>
      <c r="F37" s="4">
        <f t="shared" si="11"/>
        <v>69.989105482904677</v>
      </c>
      <c r="G37" s="4">
        <f t="shared" si="11"/>
        <v>63.407472946149419</v>
      </c>
      <c r="H37" s="4">
        <f t="shared" si="11"/>
        <v>71.596230266077242</v>
      </c>
      <c r="I37" s="4">
        <f t="shared" si="11"/>
        <v>75.720406614239977</v>
      </c>
      <c r="J37" s="4">
        <f t="shared" si="11"/>
        <v>76.274209031040769</v>
      </c>
      <c r="K37" s="4">
        <f t="shared" si="11"/>
        <v>78.445514615298464</v>
      </c>
      <c r="L37" s="4">
        <f t="shared" si="11"/>
        <v>92.409190371991244</v>
      </c>
      <c r="M37" s="4">
        <f t="shared" ref="M37" si="12">M7/M22</f>
        <v>85.679740830730069</v>
      </c>
      <c r="O37" s="84">
        <f t="shared" si="6"/>
        <v>81.705812292660113</v>
      </c>
      <c r="Q37" s="77"/>
      <c r="R37" s="77"/>
      <c r="S37" s="77"/>
      <c r="T37" s="77"/>
      <c r="U37" s="77"/>
      <c r="V37" s="77"/>
      <c r="W37" s="77"/>
      <c r="X37" s="77"/>
      <c r="Y37" s="77"/>
    </row>
    <row r="38" spans="1:25">
      <c r="A38" s="17" t="s">
        <v>10</v>
      </c>
      <c r="B38" s="17" t="s">
        <v>103</v>
      </c>
      <c r="C38" s="4">
        <f t="shared" ref="C38:L38" si="13">C8/C23</f>
        <v>96.423720223010633</v>
      </c>
      <c r="D38" s="4">
        <f t="shared" si="13"/>
        <v>96.05856675154601</v>
      </c>
      <c r="E38" s="4">
        <f t="shared" si="13"/>
        <v>107.74685267097652</v>
      </c>
      <c r="F38" s="4">
        <f t="shared" si="13"/>
        <v>102.85246859479989</v>
      </c>
      <c r="G38" s="4">
        <f t="shared" si="13"/>
        <v>107.62144821264894</v>
      </c>
      <c r="H38" s="4">
        <f t="shared" si="13"/>
        <v>114.7873542917697</v>
      </c>
      <c r="I38" s="4">
        <f t="shared" si="13"/>
        <v>109.15202952029522</v>
      </c>
      <c r="J38" s="4">
        <f t="shared" si="13"/>
        <v>109.04417836498762</v>
      </c>
      <c r="K38" s="4">
        <f t="shared" si="13"/>
        <v>98.427017695295646</v>
      </c>
      <c r="L38" s="4">
        <f t="shared" si="13"/>
        <v>111.56406795808194</v>
      </c>
      <c r="M38" s="4">
        <f t="shared" ref="M38" si="14">M8/M23</f>
        <v>112.44389657245942</v>
      </c>
      <c r="O38" s="84">
        <f t="shared" si="6"/>
        <v>108.12623802222397</v>
      </c>
      <c r="Q38" s="77"/>
      <c r="R38" s="77"/>
      <c r="S38" s="77"/>
      <c r="T38" s="77"/>
      <c r="U38" s="77"/>
      <c r="V38" s="77"/>
      <c r="W38" s="77"/>
      <c r="X38" s="77"/>
      <c r="Y38" s="77"/>
    </row>
    <row r="39" spans="1:25">
      <c r="A39" s="17" t="s">
        <v>5</v>
      </c>
      <c r="B39" s="17" t="s">
        <v>103</v>
      </c>
      <c r="C39" s="4">
        <f t="shared" ref="C39:L39" si="15">C9/C24</f>
        <v>112.62798634812286</v>
      </c>
      <c r="D39" s="4">
        <f t="shared" si="15"/>
        <v>96.694214876033072</v>
      </c>
      <c r="E39" s="4">
        <f t="shared" si="15"/>
        <v>96.851441241685151</v>
      </c>
      <c r="F39" s="4">
        <f t="shared" si="15"/>
        <v>111.68164313222078</v>
      </c>
      <c r="G39" s="4">
        <f t="shared" si="15"/>
        <v>98.446893787575149</v>
      </c>
      <c r="H39" s="4">
        <f t="shared" si="15"/>
        <v>119.2390139335477</v>
      </c>
      <c r="I39" s="4">
        <f t="shared" si="15"/>
        <v>111.97548326261197</v>
      </c>
      <c r="J39" s="4">
        <f t="shared" si="15"/>
        <v>125.87980508933406</v>
      </c>
      <c r="K39" s="4">
        <f t="shared" si="15"/>
        <v>104.98261877172654</v>
      </c>
      <c r="L39" s="4">
        <f t="shared" si="15"/>
        <v>112.57613368898221</v>
      </c>
      <c r="M39" s="4">
        <f t="shared" ref="M39" si="16">M9/M24</f>
        <v>121.19062691470185</v>
      </c>
      <c r="O39" s="84">
        <f t="shared" si="6"/>
        <v>115.32093354547132</v>
      </c>
      <c r="Q39" s="77"/>
      <c r="R39" s="77"/>
      <c r="S39" s="77"/>
      <c r="T39" s="77"/>
      <c r="U39" s="77"/>
      <c r="V39" s="77"/>
      <c r="W39" s="77"/>
      <c r="X39" s="77"/>
      <c r="Y39" s="77"/>
    </row>
    <row r="40" spans="1:25">
      <c r="A40" s="17" t="s">
        <v>6</v>
      </c>
      <c r="B40" s="17" t="s">
        <v>103</v>
      </c>
      <c r="C40" s="4">
        <f t="shared" ref="C40:L40" si="17">C10/C25</f>
        <v>58.030817233102283</v>
      </c>
      <c r="D40" s="4">
        <f t="shared" si="17"/>
        <v>51.427504741235055</v>
      </c>
      <c r="E40" s="4">
        <f t="shared" si="17"/>
        <v>62.637383472902513</v>
      </c>
      <c r="F40" s="4">
        <f t="shared" si="17"/>
        <v>60.795415807444918</v>
      </c>
      <c r="G40" s="4">
        <f t="shared" si="17"/>
        <v>66.582864495120745</v>
      </c>
      <c r="H40" s="4">
        <f t="shared" si="17"/>
        <v>61.182295348508418</v>
      </c>
      <c r="I40" s="4">
        <f t="shared" si="17"/>
        <v>54.431106889140231</v>
      </c>
      <c r="J40" s="4">
        <f t="shared" si="17"/>
        <v>53.766127690298703</v>
      </c>
      <c r="K40" s="80">
        <f t="shared" si="17"/>
        <v>61.299562914385731</v>
      </c>
      <c r="L40" s="4">
        <f t="shared" si="17"/>
        <v>60.759365588107393</v>
      </c>
      <c r="M40" s="4">
        <f t="shared" ref="M40" si="18">M10/M25</f>
        <v>51.986759164455222</v>
      </c>
      <c r="O40" s="84">
        <f t="shared" si="6"/>
        <v>56.448584449277448</v>
      </c>
      <c r="Q40" s="77"/>
      <c r="R40" s="77"/>
      <c r="S40" s="77"/>
      <c r="T40" s="77"/>
      <c r="U40" s="77"/>
      <c r="V40" s="77"/>
      <c r="W40" s="77"/>
      <c r="X40" s="77"/>
      <c r="Y40" s="77"/>
    </row>
    <row r="41" spans="1:25">
      <c r="A41" s="17" t="s">
        <v>7</v>
      </c>
      <c r="B41" s="17" t="s">
        <v>103</v>
      </c>
      <c r="C41" s="4">
        <f t="shared" ref="C41:L41" si="19">C11/C26</f>
        <v>63.954974000382542</v>
      </c>
      <c r="D41" s="4">
        <f t="shared" si="19"/>
        <v>81.126898923349827</v>
      </c>
      <c r="E41" s="4">
        <f t="shared" si="19"/>
        <v>79.370996660969652</v>
      </c>
      <c r="F41" s="4">
        <f t="shared" si="19"/>
        <v>93.983330409116533</v>
      </c>
      <c r="G41" s="4">
        <f t="shared" si="19"/>
        <v>84.868344045398686</v>
      </c>
      <c r="H41" s="4">
        <f t="shared" si="19"/>
        <v>92.594044724968143</v>
      </c>
      <c r="I41" s="4">
        <f t="shared" si="19"/>
        <v>94.349664895298815</v>
      </c>
      <c r="J41" s="4">
        <f t="shared" si="19"/>
        <v>96.876424110672673</v>
      </c>
      <c r="K41" s="4">
        <f t="shared" si="19"/>
        <v>103.83759959735437</v>
      </c>
      <c r="L41" s="4">
        <f t="shared" si="19"/>
        <v>97.364432957552779</v>
      </c>
      <c r="M41" s="4">
        <f t="shared" ref="M41" si="20">M11/M26</f>
        <v>99.769230769230759</v>
      </c>
      <c r="O41" s="84">
        <f t="shared" si="6"/>
        <v>98.439470466021888</v>
      </c>
      <c r="Q41" s="77"/>
      <c r="R41" s="77"/>
      <c r="S41" s="77"/>
      <c r="T41" s="77"/>
      <c r="U41" s="77"/>
      <c r="V41" s="77"/>
      <c r="W41" s="77"/>
      <c r="X41" s="77"/>
      <c r="Y41" s="77"/>
    </row>
    <row r="42" spans="1:25">
      <c r="A42" s="17" t="s">
        <v>8</v>
      </c>
      <c r="B42" s="17" t="s">
        <v>103</v>
      </c>
      <c r="C42" s="4">
        <f t="shared" ref="C42:L42" si="21">C12/C27</f>
        <v>94.046903187011424</v>
      </c>
      <c r="D42" s="4">
        <f t="shared" si="21"/>
        <v>103.80184331797234</v>
      </c>
      <c r="E42" s="4">
        <f t="shared" si="21"/>
        <v>95.787139689578709</v>
      </c>
      <c r="F42" s="4">
        <f t="shared" si="21"/>
        <v>99.272197962154294</v>
      </c>
      <c r="G42" s="4">
        <f t="shared" si="21"/>
        <v>109.52092177077016</v>
      </c>
      <c r="H42" s="4">
        <f t="shared" si="21"/>
        <v>104.59249676584734</v>
      </c>
      <c r="I42" s="4">
        <f t="shared" si="21"/>
        <v>99.464831804281332</v>
      </c>
      <c r="J42" s="4">
        <f t="shared" si="21"/>
        <v>108.06938159879337</v>
      </c>
      <c r="K42" s="4">
        <f t="shared" si="21"/>
        <v>115.90594744121715</v>
      </c>
      <c r="L42" s="4">
        <f t="shared" si="21"/>
        <v>110.15138023152271</v>
      </c>
      <c r="M42" s="4">
        <f t="shared" ref="M42" si="22">M12/M27</f>
        <v>115.71190674437968</v>
      </c>
      <c r="O42" s="84">
        <f t="shared" si="6"/>
        <v>109.86068956403885</v>
      </c>
      <c r="Q42" s="77"/>
      <c r="R42" s="77"/>
      <c r="S42" s="77"/>
      <c r="T42" s="77"/>
      <c r="U42" s="77"/>
      <c r="V42" s="77"/>
      <c r="W42" s="77"/>
      <c r="X42" s="77"/>
      <c r="Y42" s="77"/>
    </row>
    <row r="43" spans="1:25">
      <c r="A43" s="17" t="s">
        <v>73</v>
      </c>
      <c r="B43" s="17" t="s">
        <v>103</v>
      </c>
      <c r="C43" s="4">
        <f t="shared" ref="C43:L43" si="23">C13/C28</f>
        <v>76.091930951425127</v>
      </c>
      <c r="D43" s="4">
        <f t="shared" si="23"/>
        <v>76.149978513107001</v>
      </c>
      <c r="E43" s="4">
        <f t="shared" si="23"/>
        <v>67.540899795501034</v>
      </c>
      <c r="F43" s="4">
        <f t="shared" si="23"/>
        <v>81.560439560439548</v>
      </c>
      <c r="G43" s="4">
        <f t="shared" si="23"/>
        <v>67.992146596858646</v>
      </c>
      <c r="H43" s="4">
        <f t="shared" si="23"/>
        <v>74.945388974755275</v>
      </c>
      <c r="I43" s="4">
        <f t="shared" si="23"/>
        <v>75.892447129909371</v>
      </c>
      <c r="J43" s="4">
        <f t="shared" si="23"/>
        <v>70.090211095702401</v>
      </c>
      <c r="K43" s="4">
        <f t="shared" si="23"/>
        <v>87.208909137672521</v>
      </c>
      <c r="L43" s="4">
        <f t="shared" si="23"/>
        <v>79.228784025462488</v>
      </c>
      <c r="M43" s="4">
        <f t="shared" ref="M43" si="24">M13/M28</f>
        <v>101.46717222179167</v>
      </c>
      <c r="O43" s="84">
        <f t="shared" si="6"/>
        <v>82.777504722107693</v>
      </c>
      <c r="Q43" s="77"/>
      <c r="R43" s="77"/>
      <c r="S43" s="77"/>
      <c r="T43" s="77"/>
      <c r="U43" s="77"/>
      <c r="V43" s="77"/>
      <c r="W43" s="77"/>
      <c r="X43" s="77"/>
      <c r="Y43" s="77"/>
    </row>
    <row r="44" spans="1:25">
      <c r="A44" s="17" t="s">
        <v>54</v>
      </c>
      <c r="B44" s="17" t="s">
        <v>103</v>
      </c>
      <c r="C44" s="4">
        <f t="shared" ref="C44:L44" si="25">C14/C29</f>
        <v>64.705882352941174</v>
      </c>
      <c r="D44" s="4">
        <f t="shared" si="25"/>
        <v>97.740112994350284</v>
      </c>
      <c r="E44" s="4">
        <f t="shared" si="25"/>
        <v>98.870056497175142</v>
      </c>
      <c r="F44" s="4">
        <f t="shared" si="25"/>
        <v>116.86046511627907</v>
      </c>
      <c r="G44" s="4">
        <f t="shared" si="25"/>
        <v>111.41304347826086</v>
      </c>
      <c r="H44" s="4">
        <f t="shared" si="25"/>
        <v>95.862068965517238</v>
      </c>
      <c r="I44" s="4">
        <f t="shared" si="25"/>
        <v>92.48554913294798</v>
      </c>
      <c r="J44" s="4">
        <f t="shared" si="25"/>
        <v>93.835616438356169</v>
      </c>
      <c r="K44" s="4">
        <f t="shared" si="25"/>
        <v>101.64866421380056</v>
      </c>
      <c r="L44" s="4">
        <f t="shared" si="25"/>
        <v>108.82742681047766</v>
      </c>
      <c r="M44" s="4">
        <f t="shared" ref="M44" si="26">M14/M29</f>
        <v>96.475946119307253</v>
      </c>
      <c r="O44" s="84">
        <f t="shared" si="6"/>
        <v>98.65464054297793</v>
      </c>
      <c r="Q44" s="77"/>
      <c r="R44" s="77"/>
      <c r="S44" s="77"/>
      <c r="T44" s="77"/>
      <c r="U44" s="77"/>
      <c r="V44" s="77"/>
      <c r="W44" s="77"/>
      <c r="X44" s="77"/>
      <c r="Y44" s="77"/>
    </row>
    <row r="45" spans="1:25">
      <c r="A45" s="17" t="s">
        <v>9</v>
      </c>
      <c r="B45" s="17" t="s">
        <v>103</v>
      </c>
      <c r="C45" s="4">
        <f t="shared" ref="C45:L45" si="27">C12/C30</f>
        <v>169.91013225574213</v>
      </c>
      <c r="D45" s="4">
        <f t="shared" si="27"/>
        <v>168.90786095394026</v>
      </c>
      <c r="E45" s="4">
        <f t="shared" si="27"/>
        <v>99.346154824572949</v>
      </c>
      <c r="F45" s="4">
        <f t="shared" si="27"/>
        <v>104.82479182676163</v>
      </c>
      <c r="G45" s="4">
        <f t="shared" si="27"/>
        <v>183.72074403338124</v>
      </c>
      <c r="H45" s="4">
        <f t="shared" si="27"/>
        <v>168.49521562710612</v>
      </c>
      <c r="I45" s="4">
        <f t="shared" si="27"/>
        <v>119.16039361412176</v>
      </c>
      <c r="J45" s="4">
        <f t="shared" si="27"/>
        <v>141.88118811881188</v>
      </c>
      <c r="K45" s="4">
        <f t="shared" si="27"/>
        <v>167.54017823468362</v>
      </c>
      <c r="L45" s="4">
        <f t="shared" si="27"/>
        <v>136.23348017621146</v>
      </c>
      <c r="M45" s="4">
        <f t="shared" ref="M45" si="28">M12/M30</f>
        <v>172.59540195659363</v>
      </c>
      <c r="O45" s="84">
        <f t="shared" si="6"/>
        <v>147.48212842008448</v>
      </c>
      <c r="Q45" s="77"/>
      <c r="R45" s="77"/>
      <c r="S45" s="77"/>
      <c r="T45" s="77"/>
      <c r="U45" s="77"/>
      <c r="V45" s="77"/>
      <c r="W45" s="77"/>
      <c r="X45" s="77"/>
      <c r="Y45" s="77"/>
    </row>
  </sheetData>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Reliability!C18:L18</xm:f>
              <xm:sqref>N18</xm:sqref>
            </x14:sparkline>
            <x14:sparkline>
              <xm:f>Reliability!C19:L19</xm:f>
              <xm:sqref>N19</xm:sqref>
            </x14:sparkline>
            <x14:sparkline>
              <xm:f>Reliability!C20:L20</xm:f>
              <xm:sqref>N20</xm:sqref>
            </x14:sparkline>
            <x14:sparkline>
              <xm:f>Reliability!C21:L21</xm:f>
              <xm:sqref>N21</xm:sqref>
            </x14:sparkline>
            <x14:sparkline>
              <xm:f>Reliability!C22:L22</xm:f>
              <xm:sqref>N22</xm:sqref>
            </x14:sparkline>
            <x14:sparkline>
              <xm:f>Reliability!C23:L23</xm:f>
              <xm:sqref>N23</xm:sqref>
            </x14:sparkline>
            <x14:sparkline>
              <xm:f>Reliability!C24:L24</xm:f>
              <xm:sqref>N24</xm:sqref>
            </x14:sparkline>
            <x14:sparkline>
              <xm:f>Reliability!C25:L25</xm:f>
              <xm:sqref>N25</xm:sqref>
            </x14:sparkline>
            <x14:sparkline>
              <xm:f>Reliability!C26:L26</xm:f>
              <xm:sqref>N26</xm:sqref>
            </x14:sparkline>
            <x14:sparkline>
              <xm:f>Reliability!C27:L27</xm:f>
              <xm:sqref>N27</xm:sqref>
            </x14:sparkline>
            <x14:sparkline>
              <xm:f>Reliability!C28:L28</xm:f>
              <xm:sqref>N28</xm:sqref>
            </x14:sparkline>
            <x14:sparkline>
              <xm:f>Reliability!C29:L29</xm:f>
              <xm:sqref>N29</xm:sqref>
            </x14:sparkline>
            <x14:sparkline>
              <xm:f>Reliability!C30:L30</xm:f>
              <xm:sqref>N30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Reliability!C3:M3</xm:f>
              <xm:sqref>N3</xm:sqref>
            </x14:sparkline>
            <x14:sparkline>
              <xm:f>Reliability!C4:M4</xm:f>
              <xm:sqref>N4</xm:sqref>
            </x14:sparkline>
            <x14:sparkline>
              <xm:f>Reliability!C5:M5</xm:f>
              <xm:sqref>N5</xm:sqref>
            </x14:sparkline>
            <x14:sparkline>
              <xm:f>Reliability!C6:M6</xm:f>
              <xm:sqref>N6</xm:sqref>
            </x14:sparkline>
            <x14:sparkline>
              <xm:f>Reliability!C7:M7</xm:f>
              <xm:sqref>N7</xm:sqref>
            </x14:sparkline>
            <x14:sparkline>
              <xm:f>Reliability!C8:M8</xm:f>
              <xm:sqref>N8</xm:sqref>
            </x14:sparkline>
            <x14:sparkline>
              <xm:f>Reliability!C9:M9</xm:f>
              <xm:sqref>N9</xm:sqref>
            </x14:sparkline>
            <x14:sparkline>
              <xm:f>Reliability!C10:M10</xm:f>
              <xm:sqref>N10</xm:sqref>
            </x14:sparkline>
            <x14:sparkline>
              <xm:f>Reliability!C11:M11</xm:f>
              <xm:sqref>N11</xm:sqref>
            </x14:sparkline>
            <x14:sparkline>
              <xm:f>Reliability!C12:M12</xm:f>
              <xm:sqref>N12</xm:sqref>
            </x14:sparkline>
            <x14:sparkline>
              <xm:f>Reliability!C13:M13</xm:f>
              <xm:sqref>N13</xm:sqref>
            </x14:sparkline>
            <x14:sparkline>
              <xm:f>Reliability!C14:M14</xm:f>
              <xm:sqref>N14</xm:sqref>
            </x14:sparkline>
            <x14:sparkline>
              <xm:f>Reliability!C15:M15</xm:f>
              <xm:sqref>N15</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Y135"/>
  <sheetViews>
    <sheetView topLeftCell="A55" zoomScale="75" zoomScaleNormal="75" workbookViewId="0">
      <selection activeCell="F15" sqref="F15"/>
    </sheetView>
  </sheetViews>
  <sheetFormatPr defaultRowHeight="15"/>
  <cols>
    <col min="1" max="1" width="19.28515625" customWidth="1"/>
    <col min="2" max="2" width="12.85546875" customWidth="1"/>
    <col min="3" max="11" width="15.85546875" customWidth="1"/>
    <col min="12" max="12" width="12.7109375" customWidth="1"/>
    <col min="13" max="13" width="12.7109375" style="2" customWidth="1"/>
    <col min="16" max="16" width="11.140625" customWidth="1"/>
    <col min="17" max="17" width="14.85546875" customWidth="1"/>
  </cols>
  <sheetData>
    <row r="2" spans="1:20">
      <c r="A2" s="23" t="s">
        <v>31</v>
      </c>
      <c r="B2" s="90" t="s">
        <v>138</v>
      </c>
      <c r="C2" s="17">
        <v>2006</v>
      </c>
      <c r="D2" s="17">
        <v>2007</v>
      </c>
      <c r="E2" s="17">
        <v>2008</v>
      </c>
      <c r="F2" s="17">
        <v>2009</v>
      </c>
      <c r="G2" s="17">
        <v>2010</v>
      </c>
      <c r="H2" s="17">
        <v>2011</v>
      </c>
      <c r="I2" s="17">
        <v>2012</v>
      </c>
      <c r="J2" s="17">
        <v>2013</v>
      </c>
      <c r="K2" s="32">
        <v>2014</v>
      </c>
      <c r="L2" s="17">
        <v>2015</v>
      </c>
      <c r="M2" s="17">
        <v>2016</v>
      </c>
      <c r="P2" t="s">
        <v>209</v>
      </c>
    </row>
    <row r="3" spans="1:20">
      <c r="A3" s="17" t="s">
        <v>1</v>
      </c>
      <c r="B3" s="17" t="s">
        <v>33</v>
      </c>
      <c r="C3" s="18">
        <f>'[3]8. Operating environment'!D27</f>
        <v>3810.181</v>
      </c>
      <c r="D3" s="18">
        <f>'[3]8. Operating environment'!E27</f>
        <v>3809.5540000000001</v>
      </c>
      <c r="E3" s="18">
        <f>'[3]8. Operating environment'!F27</f>
        <v>3835.902</v>
      </c>
      <c r="F3" s="18">
        <f>'[3]8. Operating environment'!G27</f>
        <v>3868.9319999999998</v>
      </c>
      <c r="G3" s="18">
        <f>'[3]8. Operating environment'!H27</f>
        <v>3906.538</v>
      </c>
      <c r="H3" s="18">
        <f>'[3]8. Operating environment'!I27</f>
        <v>3955.8760000000002</v>
      </c>
      <c r="I3" s="18">
        <f>'[3]8. Operating environment'!J27</f>
        <v>4015.212</v>
      </c>
      <c r="J3" s="18">
        <f>'[3]8. Operating environment'!K27</f>
        <v>4086.7759999999998</v>
      </c>
      <c r="K3" s="101">
        <f>'[4]3.7 Operating environment'!$E$33</f>
        <v>4058</v>
      </c>
      <c r="L3" s="101">
        <f>'[5]3.7 Operating environment'!$E$33</f>
        <v>4074</v>
      </c>
      <c r="M3" s="101">
        <f>'[6]3.7 Operating environment'!$D$35</f>
        <v>4114</v>
      </c>
      <c r="P3" s="24">
        <f t="shared" ref="P3:P15" si="0">AVERAGE(I3:L3)</f>
        <v>4058.4969999999998</v>
      </c>
    </row>
    <row r="4" spans="1:20">
      <c r="A4" s="17" t="s">
        <v>78</v>
      </c>
      <c r="B4" s="17" t="s">
        <v>33</v>
      </c>
      <c r="C4" s="45">
        <f>'[7]8. Operating environment'!D27</f>
        <v>34573.595000000001</v>
      </c>
      <c r="D4" s="45">
        <f>'[7]8. Operating environment'!E27</f>
        <v>34930.440199999997</v>
      </c>
      <c r="E4" s="45">
        <f>'[7]8. Operating environment'!F27</f>
        <v>35177.806199999999</v>
      </c>
      <c r="F4" s="45">
        <f>'[7]8. Operating environment'!G27</f>
        <v>35468.306199999999</v>
      </c>
      <c r="G4" s="45">
        <f>'[7]8. Operating environment'!H27</f>
        <v>35718.575499999999</v>
      </c>
      <c r="H4" s="45">
        <f>'[7]8. Operating environment'!I27</f>
        <v>36202.722999999998</v>
      </c>
      <c r="I4" s="45">
        <f>'[7]8. Operating environment'!J27</f>
        <v>36609.593000000001</v>
      </c>
      <c r="J4" s="45">
        <f>'[7]8. Operating environment'!K27</f>
        <v>36951.606</v>
      </c>
      <c r="K4" s="48">
        <f>'[8]3.7 Operating environment'!$E$33</f>
        <v>37333.766380699737</v>
      </c>
      <c r="L4" s="48">
        <f>'[9]3.7 Operating environment'!$E$33</f>
        <v>38686.992329176544</v>
      </c>
      <c r="M4" s="48">
        <f>'[10]3.7 Operating environment'!$D$35</f>
        <v>38912.69</v>
      </c>
      <c r="N4" s="2"/>
      <c r="P4" s="24">
        <f t="shared" si="0"/>
        <v>37395.489427469067</v>
      </c>
      <c r="Q4" t="s">
        <v>132</v>
      </c>
    </row>
    <row r="5" spans="1:20">
      <c r="A5" s="17" t="s">
        <v>2</v>
      </c>
      <c r="B5" s="17" t="s">
        <v>33</v>
      </c>
      <c r="C5" s="45">
        <f>'[11]8. Operating environment'!D27</f>
        <v>2845.6754906194865</v>
      </c>
      <c r="D5" s="45">
        <f>'[11]8. Operating environment'!E27</f>
        <v>2932.7604912907145</v>
      </c>
      <c r="E5" s="45">
        <f>'[11]8. Operating environment'!F27</f>
        <v>2899.041974367226</v>
      </c>
      <c r="F5" s="45">
        <f>'[11]8. Operating environment'!G27</f>
        <v>2921.4818156414794</v>
      </c>
      <c r="G5" s="45">
        <f>'[11]8. Operating environment'!H27</f>
        <v>2940.3415642628752</v>
      </c>
      <c r="H5" s="45">
        <f>'[11]8. Operating environment'!I27</f>
        <v>3068.8208138593104</v>
      </c>
      <c r="I5" s="45">
        <f>'[11]8. Operating environment'!J27</f>
        <v>3082.5602833357207</v>
      </c>
      <c r="J5" s="45">
        <f>'[11]8. Operating environment'!K27</f>
        <v>3112.9464161883607</v>
      </c>
      <c r="K5" s="48">
        <f>'[12]3.7 Operating environment'!$E$33</f>
        <v>3186</v>
      </c>
      <c r="L5" s="48">
        <f>'[13]3.7 Operating environment'!$E$33</f>
        <v>3202.6543830676301</v>
      </c>
      <c r="M5" s="48">
        <f>'[14]3.7 Operating environment'!$D$35</f>
        <v>3226.6</v>
      </c>
      <c r="N5" s="2"/>
      <c r="P5" s="24">
        <f t="shared" si="0"/>
        <v>3146.0402706479281</v>
      </c>
      <c r="Q5" t="s">
        <v>123</v>
      </c>
    </row>
    <row r="6" spans="1:20">
      <c r="A6" s="17" t="s">
        <v>3</v>
      </c>
      <c r="B6" s="17" t="s">
        <v>33</v>
      </c>
      <c r="C6" s="45">
        <f>'[15]8. Operating environment'!D27</f>
        <v>25674.3</v>
      </c>
      <c r="D6" s="45">
        <f>'[15]8. Operating environment'!E27</f>
        <v>25991</v>
      </c>
      <c r="E6" s="45">
        <f>'[15]8. Operating environment'!F27</f>
        <v>26360.6</v>
      </c>
      <c r="F6" s="45">
        <f>'[15]8. Operating environment'!G27</f>
        <v>26582.3</v>
      </c>
      <c r="G6" s="45">
        <f>'[15]8. Operating environment'!H27</f>
        <v>26770.7</v>
      </c>
      <c r="H6" s="45">
        <f>'[15]8. Operating environment'!I27</f>
        <v>27051.7</v>
      </c>
      <c r="I6" s="45">
        <f>'[15]8. Operating environment'!J27</f>
        <v>27350.2</v>
      </c>
      <c r="J6" s="45">
        <f>'[15]8. Operating environment'!K27</f>
        <v>27730.2</v>
      </c>
      <c r="K6" s="48">
        <f>'[16]3.7 Operating environment'!$E$33</f>
        <v>28090</v>
      </c>
      <c r="L6" s="49">
        <f>'[17]3.7 Operating environment'!$E$33</f>
        <v>28221</v>
      </c>
      <c r="M6" s="49">
        <f>'[18]3.7 Operating environment'!$D$35</f>
        <v>28346.85</v>
      </c>
      <c r="N6" s="2"/>
      <c r="P6" s="24">
        <f t="shared" si="0"/>
        <v>27847.85</v>
      </c>
    </row>
    <row r="7" spans="1:20">
      <c r="A7" s="17" t="s">
        <v>4</v>
      </c>
      <c r="B7" s="17" t="s">
        <v>33</v>
      </c>
      <c r="C7" s="45">
        <f>'[19]8. Operating environment'!D27</f>
        <v>37863</v>
      </c>
      <c r="D7" s="45">
        <f>'[19]8. Operating environment'!E27</f>
        <v>38739</v>
      </c>
      <c r="E7" s="45">
        <f>'[19]8. Operating environment'!F27</f>
        <v>39599</v>
      </c>
      <c r="F7" s="45">
        <f>'[19]8. Operating environment'!G27</f>
        <v>40484</v>
      </c>
      <c r="G7" s="45">
        <f>'[19]8. Operating environment'!H27</f>
        <v>41131</v>
      </c>
      <c r="H7" s="45">
        <f>'[19]8. Operating environment'!I27</f>
        <v>41689</v>
      </c>
      <c r="I7" s="45">
        <f>'[19]8. Operating environment'!J27</f>
        <v>42178</v>
      </c>
      <c r="J7" s="45">
        <f>'[19]8. Operating environment'!K27</f>
        <v>42587</v>
      </c>
      <c r="K7" s="48">
        <f>'[20]3.7 Operating environment'!$E$33</f>
        <v>42833</v>
      </c>
      <c r="L7" s="48">
        <f>'[21]3.7 Operating environment'!$E$33</f>
        <v>43085.163999999997</v>
      </c>
      <c r="M7" s="48">
        <f>'[22]3.7 Operating environment'!$D$35</f>
        <v>43798</v>
      </c>
      <c r="N7" s="2"/>
      <c r="P7" s="24">
        <f t="shared" si="0"/>
        <v>42670.790999999997</v>
      </c>
    </row>
    <row r="8" spans="1:20">
      <c r="A8" s="17" t="s">
        <v>10</v>
      </c>
      <c r="B8" s="17" t="s">
        <v>33</v>
      </c>
      <c r="C8" s="48">
        <f>'[23]8. Operating environment'!D27</f>
        <v>137464.93799999999</v>
      </c>
      <c r="D8" s="48">
        <f>'[23]8. Operating environment'!E27</f>
        <v>139118.03700000001</v>
      </c>
      <c r="E8" s="48">
        <f>'[23]8. Operating environment'!F27</f>
        <v>139627.552</v>
      </c>
      <c r="F8" s="48">
        <f>'[23]8. Operating environment'!G27</f>
        <v>140872.02799999999</v>
      </c>
      <c r="G8" s="48">
        <f>'[23]8. Operating environment'!H27</f>
        <v>141675.837</v>
      </c>
      <c r="H8" s="48">
        <f>'[23]8. Operating environment'!I27</f>
        <v>141326.28099999999</v>
      </c>
      <c r="I8" s="48">
        <f>'[23]8. Operating environment'!J27</f>
        <v>142404.592</v>
      </c>
      <c r="J8" s="48">
        <f>'[23]8. Operating environment'!K27</f>
        <v>141446.783</v>
      </c>
      <c r="K8" s="48">
        <f>'[24]3.7 Operating environment'!$E$33</f>
        <v>141844.50049999999</v>
      </c>
      <c r="L8" s="48">
        <f>'[25]3.7 Operating environment'!$E$33</f>
        <v>140013.02800000002</v>
      </c>
      <c r="M8" s="48">
        <f>'[26]3.7 Operating environment'!$D$35</f>
        <v>140415.033</v>
      </c>
      <c r="N8" s="2"/>
      <c r="P8" s="24">
        <f t="shared" si="0"/>
        <v>141427.225875</v>
      </c>
    </row>
    <row r="9" spans="1:20">
      <c r="A9" s="17" t="s">
        <v>5</v>
      </c>
      <c r="B9" s="17" t="s">
        <v>33</v>
      </c>
      <c r="C9" s="48">
        <f>'[27]8. Operating environment'!D27</f>
        <v>189519.30006014908</v>
      </c>
      <c r="D9" s="48">
        <f>'[27]8. Operating environment'!E27</f>
        <v>179841.54272824817</v>
      </c>
      <c r="E9" s="48">
        <f>'[27]8. Operating environment'!F27</f>
        <v>176400.00583690053</v>
      </c>
      <c r="F9" s="48">
        <f>'[27]8. Operating environment'!G27</f>
        <v>178225.55710529207</v>
      </c>
      <c r="G9" s="48">
        <f>'[27]8. Operating environment'!H27</f>
        <v>180726.38791515975</v>
      </c>
      <c r="H9" s="48">
        <f>'[27]8. Operating environment'!I27</f>
        <v>180344</v>
      </c>
      <c r="I9" s="48">
        <f>'[27]8. Operating environment'!J27</f>
        <v>180416</v>
      </c>
      <c r="J9" s="48">
        <f>'[27]8. Operating environment'!K27</f>
        <v>180741</v>
      </c>
      <c r="K9" s="48">
        <f>'[28]3.7 Operating environment'!$E$33</f>
        <v>180741</v>
      </c>
      <c r="L9" s="48">
        <f>'[29]3.7 Operating environment'!$E$33</f>
        <v>181384.05900000001</v>
      </c>
      <c r="M9" s="48">
        <f>'[30]3.7 Operating environment'!$D$35</f>
        <v>181699.78400000001</v>
      </c>
      <c r="N9" s="2"/>
      <c r="P9" s="24">
        <f t="shared" si="0"/>
        <v>180820.51475</v>
      </c>
    </row>
    <row r="10" spans="1:20">
      <c r="A10" s="17" t="s">
        <v>6</v>
      </c>
      <c r="B10" s="17" t="s">
        <v>33</v>
      </c>
      <c r="C10" s="48">
        <f>'[31]8. Operating environment'!D$27</f>
        <v>4061.8365097925425</v>
      </c>
      <c r="D10" s="48">
        <f>'[31]8. Operating environment'!E$27</f>
        <v>4096.2416794572973</v>
      </c>
      <c r="E10" s="48">
        <f>'[31]8. Operating environment'!F$27</f>
        <v>4163.0765337687144</v>
      </c>
      <c r="F10" s="48">
        <f>'[31]8. Operating environment'!G$27</f>
        <v>4202.67561458616</v>
      </c>
      <c r="G10" s="48">
        <f>'[31]8. Operating environment'!H$27</f>
        <v>4232.0720100870267</v>
      </c>
      <c r="H10" s="48">
        <f>'[31]8. Operating environment'!I$27</f>
        <v>4279.6911179924782</v>
      </c>
      <c r="I10" s="48">
        <f>'[31]8. Operating environment'!J$27</f>
        <v>4319.8792326594175</v>
      </c>
      <c r="J10" s="48">
        <f>'[31]8. Operating environment'!K$27</f>
        <v>4340.3851949999998</v>
      </c>
      <c r="K10" s="48">
        <f>'[32]3.7 Operating environment'!$E$33</f>
        <v>4475.5042117941766</v>
      </c>
      <c r="L10" s="48">
        <f>'[33]3.7 Operating environment'!$E$33</f>
        <v>4485</v>
      </c>
      <c r="M10" s="48">
        <f>'[34]3.7 Operating environment'!$D$35</f>
        <v>4558.1907000000001</v>
      </c>
      <c r="N10" s="2"/>
      <c r="P10" s="24">
        <f t="shared" si="0"/>
        <v>4405.192159863399</v>
      </c>
    </row>
    <row r="11" spans="1:20">
      <c r="A11" s="17" t="s">
        <v>7</v>
      </c>
      <c r="B11" s="17" t="s">
        <v>33</v>
      </c>
      <c r="C11" s="48">
        <f>'[35]8. Operating environment'!D$27</f>
        <v>64783.822472879117</v>
      </c>
      <c r="D11" s="48">
        <f>'[35]8. Operating environment'!E$27</f>
        <v>65013.415822291761</v>
      </c>
      <c r="E11" s="48">
        <f>'[35]8. Operating environment'!F$27</f>
        <v>65186.309286985103</v>
      </c>
      <c r="F11" s="48">
        <f>'[35]8. Operating environment'!G$27</f>
        <v>65985.544849508558</v>
      </c>
      <c r="G11" s="48">
        <f>'[35]8. Operating environment'!H$27</f>
        <v>66521.546676126571</v>
      </c>
      <c r="H11" s="48">
        <f>'[35]8. Operating environment'!I$27</f>
        <v>66216.546006737946</v>
      </c>
      <c r="I11" s="48">
        <f>'[35]8. Operating environment'!J$27</f>
        <v>66542.324039862317</v>
      </c>
      <c r="J11" s="48">
        <f>'[35]8. Operating environment'!K$27</f>
        <v>66836.138240359753</v>
      </c>
      <c r="K11" s="48">
        <f>'[36]3.7 Operating environment'!$E$33</f>
        <v>67006</v>
      </c>
      <c r="L11" s="48">
        <f>'[37]3.7 Operating environment'!$E$33</f>
        <v>67339.856520849105</v>
      </c>
      <c r="M11" s="48">
        <f>'[38]3.7 Operating environment'!$D$35</f>
        <v>67580.7</v>
      </c>
      <c r="N11" s="2"/>
      <c r="P11" s="24">
        <f t="shared" si="0"/>
        <v>66931.079700267786</v>
      </c>
    </row>
    <row r="12" spans="1:20">
      <c r="A12" s="17" t="s">
        <v>8</v>
      </c>
      <c r="B12" s="17" t="s">
        <v>33</v>
      </c>
      <c r="C12" s="48">
        <f>'[39]8. Operating environment'!D$27</f>
        <v>81040.914379351118</v>
      </c>
      <c r="D12" s="48">
        <f>'[39]8. Operating environment'!E$27</f>
        <v>80991.544399345978</v>
      </c>
      <c r="E12" s="48">
        <f>'[39]8. Operating environment'!F$27</f>
        <v>80942.174419340823</v>
      </c>
      <c r="F12" s="48">
        <f>'[39]8. Operating environment'!G$27</f>
        <v>81117.562635689028</v>
      </c>
      <c r="G12" s="48">
        <f>'[39]8. Operating environment'!H$27</f>
        <v>81331.445701122968</v>
      </c>
      <c r="H12" s="48">
        <f>'[39]8. Operating environment'!I$27</f>
        <v>81037.644511795268</v>
      </c>
      <c r="I12" s="48">
        <f>'[39]8. Operating environment'!J$27</f>
        <v>81131.289501052743</v>
      </c>
      <c r="J12" s="48">
        <f>'[39]8. Operating environment'!K$27</f>
        <v>81137</v>
      </c>
      <c r="K12" s="48">
        <f>'[40]3.7 Operating environment'!$E$33</f>
        <v>81203</v>
      </c>
      <c r="L12" s="48">
        <f>'[41]3.7 Operating environment'!$E$33</f>
        <v>81225.790999999997</v>
      </c>
      <c r="M12" s="48">
        <f>'[42]3.7 Operating environment'!$D$35</f>
        <v>81790.186184748047</v>
      </c>
      <c r="N12" s="2"/>
      <c r="P12" s="24">
        <f t="shared" si="0"/>
        <v>81174.270125263196</v>
      </c>
    </row>
    <row r="13" spans="1:20">
      <c r="A13" s="17" t="s">
        <v>73</v>
      </c>
      <c r="B13" s="17" t="s">
        <v>33</v>
      </c>
      <c r="C13" s="48">
        <f>'[43]8. Operating environment'!D$27</f>
        <v>35052.744983445111</v>
      </c>
      <c r="D13" s="48">
        <f>'[43]8. Operating environment'!E$27</f>
        <v>35474.049102024757</v>
      </c>
      <c r="E13" s="48">
        <f>'[43]8. Operating environment'!F$27</f>
        <v>35808.446924356896</v>
      </c>
      <c r="F13" s="48">
        <f>'[43]8. Operating environment'!G$27</f>
        <v>36492.484945668111</v>
      </c>
      <c r="G13" s="48">
        <f>'[43]8. Operating environment'!H$27</f>
        <v>36813.688788960724</v>
      </c>
      <c r="H13" s="48">
        <f>'[43]8. Operating environment'!I$27</f>
        <v>37189.18932794327</v>
      </c>
      <c r="I13" s="48">
        <f>'[43]8. Operating environment'!J$27</f>
        <v>37739.672510546159</v>
      </c>
      <c r="J13" s="48">
        <f>'[43]8. Operating environment'!K$27</f>
        <v>37953.007642697215</v>
      </c>
      <c r="K13" s="48">
        <f>'[44]3.7 Operating environment'!$E$33</f>
        <v>38460.334063763054</v>
      </c>
      <c r="L13" s="48">
        <f>'[45]3.7 Operating environment'!$E$33</f>
        <v>38586.474786906576</v>
      </c>
      <c r="M13" s="48">
        <f>'[46]3.7 Operating environment'!$D$35</f>
        <v>38811.95907884687</v>
      </c>
      <c r="N13" s="2"/>
      <c r="P13" s="24">
        <f t="shared" si="0"/>
        <v>38184.872250978253</v>
      </c>
    </row>
    <row r="14" spans="1:20">
      <c r="A14" s="17" t="s">
        <v>54</v>
      </c>
      <c r="B14" s="17" t="s">
        <v>33</v>
      </c>
      <c r="C14" s="48">
        <f>'[47]8. Operating environment'!D$27</f>
        <v>20126</v>
      </c>
      <c r="D14" s="48">
        <f>'[47]8. Operating environment'!E$27</f>
        <v>20126</v>
      </c>
      <c r="E14" s="48">
        <f>'[47]8. Operating environment'!F$27</f>
        <v>20126</v>
      </c>
      <c r="F14" s="48">
        <f>'[47]8. Operating environment'!G$27</f>
        <v>20126</v>
      </c>
      <c r="G14" s="48">
        <f>'[47]8. Operating environment'!H$27</f>
        <v>20127</v>
      </c>
      <c r="H14" s="48">
        <f>'[47]8. Operating environment'!I$27</f>
        <v>20189</v>
      </c>
      <c r="I14" s="48">
        <f>'[47]8. Operating environment'!J$27</f>
        <v>20250</v>
      </c>
      <c r="J14" s="48">
        <f>'[47]8. Operating environment'!K$27</f>
        <v>20301</v>
      </c>
      <c r="K14" s="53">
        <f>'[48]3.7 Operating environment'!$E$33</f>
        <v>20361</v>
      </c>
      <c r="L14" s="53">
        <f>'[49]3.7 Operating environment'!$E$33</f>
        <v>20427</v>
      </c>
      <c r="M14" s="53">
        <f>'[50]3.7 Operating environment'!$D$35</f>
        <v>20429.770436645002</v>
      </c>
      <c r="N14" s="2"/>
      <c r="P14" s="24">
        <f t="shared" si="0"/>
        <v>20334.75</v>
      </c>
    </row>
    <row r="15" spans="1:20">
      <c r="A15" s="17" t="s">
        <v>9</v>
      </c>
      <c r="B15" s="17" t="s">
        <v>33</v>
      </c>
      <c r="C15" s="53">
        <v>10093.773761904729</v>
      </c>
      <c r="D15" s="53">
        <v>10143.259864539437</v>
      </c>
      <c r="E15" s="53">
        <v>10181.955992574058</v>
      </c>
      <c r="F15" s="53">
        <v>10097.888306245304</v>
      </c>
      <c r="G15" s="53">
        <v>10132.119785386662</v>
      </c>
      <c r="H15" s="53">
        <v>10114.516102442652</v>
      </c>
      <c r="I15" s="53">
        <v>10169.82683679631</v>
      </c>
      <c r="J15" s="53">
        <v>10127.92</v>
      </c>
      <c r="K15" s="53">
        <v>10131.843999999999</v>
      </c>
      <c r="L15" s="53">
        <v>10126.404999999999</v>
      </c>
      <c r="M15" s="53">
        <v>10121.816999999999</v>
      </c>
      <c r="N15" s="2"/>
      <c r="P15" s="24">
        <f t="shared" si="0"/>
        <v>10138.998959199076</v>
      </c>
      <c r="T15">
        <f>M15/L15</f>
        <v>0.99954692706839199</v>
      </c>
    </row>
    <row r="17" spans="1:17">
      <c r="A17" s="23" t="s">
        <v>32</v>
      </c>
      <c r="B17" s="83" t="s">
        <v>139</v>
      </c>
      <c r="C17" s="17">
        <v>2006</v>
      </c>
      <c r="D17" s="17">
        <v>2007</v>
      </c>
      <c r="E17" s="17">
        <v>2008</v>
      </c>
      <c r="F17" s="17">
        <v>2009</v>
      </c>
      <c r="G17" s="17">
        <v>2010</v>
      </c>
      <c r="H17" s="17">
        <v>2011</v>
      </c>
      <c r="I17" s="17">
        <v>2012</v>
      </c>
      <c r="J17" s="17">
        <v>2013</v>
      </c>
      <c r="K17" s="32">
        <v>2014</v>
      </c>
      <c r="L17" s="17">
        <v>2015</v>
      </c>
      <c r="M17" s="17">
        <v>2016</v>
      </c>
      <c r="P17" s="2" t="s">
        <v>209</v>
      </c>
    </row>
    <row r="18" spans="1:17">
      <c r="A18" s="17" t="s">
        <v>1</v>
      </c>
      <c r="B18" s="17" t="s">
        <v>34</v>
      </c>
      <c r="C18" s="18">
        <f>'[3]5. Operational data'!D47</f>
        <v>154510</v>
      </c>
      <c r="D18" s="18">
        <f>'[3]5. Operational data'!E47</f>
        <v>156360</v>
      </c>
      <c r="E18" s="18">
        <f>'[3]5. Operational data'!F47</f>
        <v>158455</v>
      </c>
      <c r="F18" s="18">
        <f>'[3]5. Operational data'!G47</f>
        <v>161092</v>
      </c>
      <c r="G18" s="18">
        <f>'[3]5. Operational data'!H47</f>
        <v>164900</v>
      </c>
      <c r="H18" s="18">
        <f>'[3]5. Operational data'!I47</f>
        <v>168937</v>
      </c>
      <c r="I18" s="18">
        <f>'[3]5. Operational data'!J47</f>
        <v>173186</v>
      </c>
      <c r="J18" s="18">
        <f>'[3]5. Operational data'!K47</f>
        <v>177255</v>
      </c>
      <c r="K18" s="48">
        <f>'[4]3.4 Operational data'!$E$54</f>
        <v>178710</v>
      </c>
      <c r="L18" s="24">
        <f>'[5]3.4 Operational data'!$E$54</f>
        <v>181851</v>
      </c>
      <c r="M18" s="24">
        <f>'[6]3.4 Operational data'!$D$58</f>
        <v>184961.5</v>
      </c>
      <c r="N18" s="2"/>
      <c r="P18" s="24">
        <f t="shared" ref="P18:P30" si="1">AVERAGE(I18:L18)</f>
        <v>177750.5</v>
      </c>
      <c r="Q18" t="s">
        <v>124</v>
      </c>
    </row>
    <row r="19" spans="1:17">
      <c r="A19" s="17" t="s">
        <v>78</v>
      </c>
      <c r="B19" s="17" t="s">
        <v>34</v>
      </c>
      <c r="C19" s="45">
        <f>'[7]5. Operational data'!D47</f>
        <v>1546194.5</v>
      </c>
      <c r="D19" s="45">
        <f>'[7]5. Operational data'!E47</f>
        <v>1561614</v>
      </c>
      <c r="E19" s="45">
        <f>'[7]5. Operational data'!F47</f>
        <v>1574318</v>
      </c>
      <c r="F19" s="45">
        <f>'[7]5. Operational data'!G47</f>
        <v>1586138</v>
      </c>
      <c r="G19" s="45">
        <f>'[7]5. Operational data'!H47</f>
        <v>1596897.5</v>
      </c>
      <c r="H19" s="45">
        <f>'[7]5. Operational data'!I47</f>
        <v>1608734.5</v>
      </c>
      <c r="I19" s="45">
        <f>'[7]5. Operational data'!J47</f>
        <v>1621658.5</v>
      </c>
      <c r="J19" s="45">
        <f>'[7]5. Operational data'!K47</f>
        <v>1635052.5</v>
      </c>
      <c r="K19" s="48">
        <f>'[8]3.4 Operational data'!$E$54</f>
        <v>1651159.5</v>
      </c>
      <c r="L19" s="48">
        <f>'[9]3.4 Operational data'!$E$54</f>
        <v>1669558.4999999998</v>
      </c>
      <c r="M19" s="48">
        <f>'[10]3.4 Operational data'!$D$58</f>
        <v>1688281.7206584653</v>
      </c>
      <c r="N19" s="2"/>
      <c r="P19" s="24">
        <f t="shared" si="1"/>
        <v>1644357.25</v>
      </c>
    </row>
    <row r="20" spans="1:17">
      <c r="A20" s="17" t="s">
        <v>2</v>
      </c>
      <c r="B20" s="17" t="s">
        <v>34</v>
      </c>
      <c r="C20" s="45">
        <f>'[11]5. Operational data'!D47</f>
        <v>294971.65817284817</v>
      </c>
      <c r="D20" s="45">
        <f>'[11]5. Operational data'!E47</f>
        <v>299951.29418559512</v>
      </c>
      <c r="E20" s="45">
        <f>'[11]5. Operational data'!F47</f>
        <v>303151.80398687738</v>
      </c>
      <c r="F20" s="45">
        <f>'[11]5. Operational data'!G47</f>
        <v>305984.98426974035</v>
      </c>
      <c r="G20" s="45">
        <f>'[11]5. Operational data'!H47</f>
        <v>310174.96273258881</v>
      </c>
      <c r="H20" s="45">
        <f>'[11]5. Operational data'!I47</f>
        <v>314439.61807555537</v>
      </c>
      <c r="I20" s="45">
        <f>'[11]5. Operational data'!J47</f>
        <v>318643.22002329014</v>
      </c>
      <c r="J20" s="45">
        <f>'[11]5. Operational data'!K47</f>
        <v>322735.81579787645</v>
      </c>
      <c r="K20" s="48">
        <f>'[12]3.4 Operational data'!$E$54</f>
        <v>325917.15180561459</v>
      </c>
      <c r="L20" s="48">
        <f>'[13]3.4 Operational data'!$E$54</f>
        <v>327907.17472153297</v>
      </c>
      <c r="M20" s="48">
        <f>'[14]3.4 Operational data'!$D$58</f>
        <v>336070</v>
      </c>
      <c r="N20" s="2"/>
      <c r="P20" s="24">
        <f t="shared" si="1"/>
        <v>323800.84058707854</v>
      </c>
    </row>
    <row r="21" spans="1:17">
      <c r="A21" s="17" t="s">
        <v>3</v>
      </c>
      <c r="B21" s="17" t="s">
        <v>34</v>
      </c>
      <c r="C21" s="45">
        <f>'[15]5. Operational data'!D47</f>
        <v>849548.29330195289</v>
      </c>
      <c r="D21" s="45">
        <f>'[15]5. Operational data'!E47</f>
        <v>859722.30529925239</v>
      </c>
      <c r="E21" s="45">
        <f>'[15]5. Operational data'!F47</f>
        <v>869654.53679641755</v>
      </c>
      <c r="F21" s="45">
        <f>'[15]5. Operational data'!G47</f>
        <v>878612.20779662021</v>
      </c>
      <c r="G21" s="45">
        <f>'[15]5. Operational data'!H47</f>
        <v>886064.29272155382</v>
      </c>
      <c r="H21" s="45">
        <f>'[15]5. Operational data'!I47</f>
        <v>895088.26980019733</v>
      </c>
      <c r="I21" s="45">
        <f>'[15]5. Operational data'!J47</f>
        <v>903746.68839345104</v>
      </c>
      <c r="J21" s="45">
        <f>'[15]5. Operational data'!K47</f>
        <v>919384.82389900391</v>
      </c>
      <c r="K21" s="48">
        <f>'[16]3.4 Operational data'!$E$54</f>
        <v>940028.5</v>
      </c>
      <c r="L21" s="48">
        <f>'[17]3.4 Operational data'!$E$54</f>
        <v>955832.5</v>
      </c>
      <c r="M21" s="48">
        <f>'[18]3.4 Operational data'!$D$58</f>
        <v>968354.5</v>
      </c>
      <c r="N21" s="2"/>
      <c r="P21" s="24">
        <f t="shared" si="1"/>
        <v>929748.12807311374</v>
      </c>
    </row>
    <row r="22" spans="1:17">
      <c r="A22" s="17" t="s">
        <v>4</v>
      </c>
      <c r="B22" s="17" t="s">
        <v>34</v>
      </c>
      <c r="C22" s="45">
        <f>'[19]5. Operational data'!D47</f>
        <v>1212063.5623809525</v>
      </c>
      <c r="D22" s="45">
        <f>'[19]5. Operational data'!E47</f>
        <v>1236100.9766666668</v>
      </c>
      <c r="E22" s="45">
        <f>'[19]5. Operational data'!F47</f>
        <v>1263762.9433333334</v>
      </c>
      <c r="F22" s="45">
        <f>'[19]5. Operational data'!G47</f>
        <v>1287435.6833333333</v>
      </c>
      <c r="G22" s="45">
        <f>'[19]5. Operational data'!H47</f>
        <v>1307554.3333333333</v>
      </c>
      <c r="H22" s="45">
        <f>'[19]5. Operational data'!I47</f>
        <v>1326563.5</v>
      </c>
      <c r="I22" s="45">
        <f>'[19]5. Operational data'!J47</f>
        <v>1343864.5</v>
      </c>
      <c r="J22" s="45">
        <f>'[19]5. Operational data'!K47</f>
        <v>1359711.5</v>
      </c>
      <c r="K22" s="48">
        <f>'[20]3.4 Operational data'!$E$54</f>
        <v>1376483</v>
      </c>
      <c r="L22" s="48">
        <f>'[21]3.4 Operational data'!$E$54</f>
        <v>1397191</v>
      </c>
      <c r="M22" s="48">
        <f>'[22]3.4 Operational data'!$D$58</f>
        <v>1421522</v>
      </c>
      <c r="N22" s="2"/>
      <c r="P22" s="24">
        <f t="shared" si="1"/>
        <v>1369312.5</v>
      </c>
    </row>
    <row r="23" spans="1:17">
      <c r="A23" s="17" t="s">
        <v>10</v>
      </c>
      <c r="B23" s="17" t="s">
        <v>34</v>
      </c>
      <c r="C23" s="49">
        <f>'[23]5. Operational data'!D47</f>
        <v>624130</v>
      </c>
      <c r="D23" s="49">
        <f>'[23]5. Operational data'!E47</f>
        <v>635123</v>
      </c>
      <c r="E23" s="49">
        <f>'[23]5. Operational data'!F47</f>
        <v>647729</v>
      </c>
      <c r="F23" s="49">
        <f>'[23]5. Operational data'!G47</f>
        <v>663216</v>
      </c>
      <c r="G23" s="49">
        <f>'[23]5. Operational data'!H47</f>
        <v>676960</v>
      </c>
      <c r="H23" s="49">
        <f>'[23]5. Operational data'!I47</f>
        <v>688959</v>
      </c>
      <c r="I23" s="49">
        <f>'[23]5. Operational data'!J47</f>
        <v>699264</v>
      </c>
      <c r="J23" s="49">
        <f>'[23]5. Operational data'!K47</f>
        <v>710431</v>
      </c>
      <c r="K23" s="48">
        <f>'[24]3.4 Operational data'!$E$54</f>
        <v>721930</v>
      </c>
      <c r="L23" s="48">
        <f>'[25]3.4 Operational data'!$E$54</f>
        <v>728290.5</v>
      </c>
      <c r="M23" s="48">
        <f>'[26]3.4 Operational data'!$D$58</f>
        <v>739353.5</v>
      </c>
      <c r="N23" s="2"/>
      <c r="P23" s="24">
        <f t="shared" si="1"/>
        <v>714978.875</v>
      </c>
    </row>
    <row r="24" spans="1:17">
      <c r="A24" s="17" t="s">
        <v>5</v>
      </c>
      <c r="B24" s="17" t="s">
        <v>34</v>
      </c>
      <c r="C24" s="49">
        <f>'[27]5. Operational data'!D47</f>
        <v>799028</v>
      </c>
      <c r="D24" s="49">
        <f>'[27]5. Operational data'!E47</f>
        <v>805190</v>
      </c>
      <c r="E24" s="49">
        <f>'[27]5. Operational data'!F47</f>
        <v>814865</v>
      </c>
      <c r="F24" s="49">
        <f>'[27]5. Operational data'!G47</f>
        <v>821578</v>
      </c>
      <c r="G24" s="49">
        <f>'[27]5. Operational data'!H47</f>
        <v>825215</v>
      </c>
      <c r="H24" s="49">
        <f>'[27]5. Operational data'!I47</f>
        <v>834416</v>
      </c>
      <c r="I24" s="49">
        <f>'[27]5. Operational data'!J47</f>
        <v>838385</v>
      </c>
      <c r="J24" s="49">
        <f>'[27]5. Operational data'!K47</f>
        <v>844244</v>
      </c>
      <c r="K24" s="48">
        <f>'[28]3.4 Operational data'!$E$54</f>
        <v>854231</v>
      </c>
      <c r="L24" s="48">
        <f>'[29]3.4 Operational data'!$E$54</f>
        <v>867001</v>
      </c>
      <c r="M24" s="48">
        <f>'[30]3.4 Operational data'!$D$58</f>
        <v>879064.5</v>
      </c>
      <c r="N24" s="2"/>
      <c r="P24" s="24">
        <f t="shared" si="1"/>
        <v>850965.25</v>
      </c>
    </row>
    <row r="25" spans="1:17">
      <c r="A25" s="17" t="s">
        <v>6</v>
      </c>
      <c r="B25" s="17" t="s">
        <v>34</v>
      </c>
      <c r="C25" s="48">
        <f>'[31]5. Operational data'!D$47</f>
        <v>293175.49999999994</v>
      </c>
      <c r="D25" s="48">
        <f>'[31]5. Operational data'!E$47</f>
        <v>299118.49999999994</v>
      </c>
      <c r="E25" s="48">
        <f>'[31]5. Operational data'!F$47</f>
        <v>302627.5</v>
      </c>
      <c r="F25" s="48">
        <f>'[31]5. Operational data'!G$47</f>
        <v>305243</v>
      </c>
      <c r="G25" s="48">
        <f>'[31]5. Operational data'!H$47</f>
        <v>309598</v>
      </c>
      <c r="H25" s="48">
        <f>'[31]5. Operational data'!I$47</f>
        <v>313362.00000000006</v>
      </c>
      <c r="I25" s="48">
        <f>'[31]5. Operational data'!J$47</f>
        <v>317050.00000000006</v>
      </c>
      <c r="J25" s="48">
        <f>'[31]5. Operational data'!K$47</f>
        <v>318830</v>
      </c>
      <c r="K25" s="48">
        <f>'[32]3.4 Operational data'!$E$54</f>
        <v>318429</v>
      </c>
      <c r="L25" s="48">
        <f>'[33]3.4 Operational data'!$E$54</f>
        <v>321417</v>
      </c>
      <c r="M25" s="48">
        <f>'[34]3.4 Operational data'!$D$58</f>
        <v>327386</v>
      </c>
      <c r="N25" s="2"/>
      <c r="P25" s="24">
        <f t="shared" si="1"/>
        <v>318931.5</v>
      </c>
    </row>
    <row r="26" spans="1:17">
      <c r="A26" s="17" t="s">
        <v>7</v>
      </c>
      <c r="B26" s="17" t="s">
        <v>34</v>
      </c>
      <c r="C26" s="48">
        <f>'[35]5. Operational data'!D$47</f>
        <v>663966.3573024238</v>
      </c>
      <c r="D26" s="48">
        <f>'[35]5. Operational data'!E$47</f>
        <v>675821.59009513049</v>
      </c>
      <c r="E26" s="48">
        <f>'[35]5. Operational data'!F$47</f>
        <v>688356.4318822237</v>
      </c>
      <c r="F26" s="48">
        <f>'[35]5. Operational data'!G$47</f>
        <v>701004.54183504835</v>
      </c>
      <c r="G26" s="48">
        <f>'[35]5. Operational data'!H$47</f>
        <v>715219.69663430494</v>
      </c>
      <c r="H26" s="48">
        <f>'[35]5. Operational data'!I$47</f>
        <v>731281.52706414193</v>
      </c>
      <c r="I26" s="48">
        <f>'[35]5. Operational data'!J$47</f>
        <v>743561.51547834044</v>
      </c>
      <c r="J26" s="48">
        <f>'[35]5. Operational data'!K$47</f>
        <v>753913.41676783864</v>
      </c>
      <c r="K26" s="48">
        <f>'[36]3.4 Operational data'!$E$54</f>
        <v>765240.73900240555</v>
      </c>
      <c r="L26" s="48">
        <f>'[37]3.4 Operational data'!$E$54</f>
        <v>777161.00874878757</v>
      </c>
      <c r="M26" s="48">
        <f>'[38]3.4 Operational data'!$D$58</f>
        <v>799540</v>
      </c>
      <c r="N26" s="2"/>
      <c r="P26" s="24">
        <f t="shared" si="1"/>
        <v>759969.16999934299</v>
      </c>
    </row>
    <row r="27" spans="1:17">
      <c r="A27" s="17" t="s">
        <v>8</v>
      </c>
      <c r="B27" s="17" t="s">
        <v>34</v>
      </c>
      <c r="C27" s="48">
        <f>'[39]5. Operational data'!D$47</f>
        <v>778839</v>
      </c>
      <c r="D27" s="48">
        <f>'[39]5. Operational data'!E$47</f>
        <v>779426</v>
      </c>
      <c r="E27" s="48">
        <f>'[39]5. Operational data'!F$47</f>
        <v>781110</v>
      </c>
      <c r="F27" s="48">
        <f>'[39]5. Operational data'!G$47</f>
        <v>814467</v>
      </c>
      <c r="G27" s="48">
        <f>'[39]5. Operational data'!H$47</f>
        <v>826964</v>
      </c>
      <c r="H27" s="48">
        <f>'[39]5. Operational data'!I$47</f>
        <v>836055</v>
      </c>
      <c r="I27" s="48">
        <f>'[39]5. Operational data'!J$47</f>
        <v>844153</v>
      </c>
      <c r="J27" s="48">
        <f>'[39]5. Operational data'!K$47</f>
        <v>847766</v>
      </c>
      <c r="K27" s="48">
        <f>'[40]3.4 Operational data'!$E$54</f>
        <v>851766.5</v>
      </c>
      <c r="L27" s="48">
        <f>'[41]3.4 Operational data'!$E$54</f>
        <v>853939</v>
      </c>
      <c r="M27" s="48">
        <f>'[42]3.4 Operational data'!$D$58</f>
        <v>858646.5</v>
      </c>
      <c r="N27" s="2"/>
      <c r="P27" s="24">
        <f t="shared" si="1"/>
        <v>849406.125</v>
      </c>
    </row>
    <row r="28" spans="1:17">
      <c r="A28" s="17" t="s">
        <v>73</v>
      </c>
      <c r="B28" s="17" t="s">
        <v>34</v>
      </c>
      <c r="C28" s="48">
        <f>'[43]5. Operational data'!D$47</f>
        <v>605408</v>
      </c>
      <c r="D28" s="48">
        <f>'[43]5. Operational data'!E$47</f>
        <v>616585.5</v>
      </c>
      <c r="E28" s="48">
        <f>'[43]5. Operational data'!F$47</f>
        <v>627552.50000000012</v>
      </c>
      <c r="F28" s="48">
        <f>'[43]5. Operational data'!G$47</f>
        <v>638613.50000000023</v>
      </c>
      <c r="G28" s="48">
        <f>'[43]5. Operational data'!H$47</f>
        <v>645694.5</v>
      </c>
      <c r="H28" s="48">
        <f>'[43]5. Operational data'!I$47</f>
        <v>654640.99999999988</v>
      </c>
      <c r="I28" s="48">
        <f>'[43]5. Operational data'!J$47</f>
        <v>668703</v>
      </c>
      <c r="J28" s="48">
        <f>'[43]5. Operational data'!K$47</f>
        <v>681299.00000000012</v>
      </c>
      <c r="K28" s="48">
        <f>'[44]3.4 Operational data'!$E$54</f>
        <v>685194.00000000012</v>
      </c>
      <c r="L28" s="48">
        <f>'[45]3.4 Operational data'!$E$54</f>
        <v>706424</v>
      </c>
      <c r="M28" s="48">
        <f>'[46]3.4 Operational data'!$D$58</f>
        <v>712767</v>
      </c>
      <c r="N28" s="2"/>
      <c r="P28" s="24">
        <f t="shared" si="1"/>
        <v>685405</v>
      </c>
    </row>
    <row r="29" spans="1:17">
      <c r="A29" s="17" t="s">
        <v>54</v>
      </c>
      <c r="B29" s="17" t="s">
        <v>34</v>
      </c>
      <c r="C29" s="48">
        <f>'[47]5. Operational data'!D$47</f>
        <v>250642.52420131132</v>
      </c>
      <c r="D29" s="48">
        <f>'[47]5. Operational data'!E$47</f>
        <v>255484.38545676047</v>
      </c>
      <c r="E29" s="48">
        <f>'[47]5. Operational data'!F$47</f>
        <v>260424.25945125124</v>
      </c>
      <c r="F29" s="48">
        <f>'[47]5. Operational data'!G$47</f>
        <v>265464.13023523602</v>
      </c>
      <c r="G29" s="48">
        <f>'[47]5. Operational data'!H$47</f>
        <v>270606.02202186675</v>
      </c>
      <c r="H29" s="48">
        <f>'[47]5. Operational data'!I$47</f>
        <v>275852</v>
      </c>
      <c r="I29" s="48">
        <f>'[47]5. Operational data'!J$47</f>
        <v>278392</v>
      </c>
      <c r="J29" s="48">
        <f>'[47]5. Operational data'!K$47</f>
        <v>279868</v>
      </c>
      <c r="K29" s="48">
        <f>'[48]3.4 Operational data'!$E$54</f>
        <v>280750</v>
      </c>
      <c r="L29" s="48">
        <f>'[49]3.4 Operational data'!$E$54</f>
        <v>283059</v>
      </c>
      <c r="M29" s="48">
        <f>'[50]3.4 Operational data'!$D$58</f>
        <v>285325</v>
      </c>
      <c r="N29" s="2"/>
      <c r="P29" s="24">
        <f t="shared" si="1"/>
        <v>280517.25</v>
      </c>
    </row>
    <row r="30" spans="1:17">
      <c r="A30" s="17" t="s">
        <v>9</v>
      </c>
      <c r="B30" s="17" t="s">
        <v>34</v>
      </c>
      <c r="C30" s="48">
        <f>'[51]5. Operational data'!D$47</f>
        <v>612728</v>
      </c>
      <c r="D30" s="48">
        <f>'[51]5. Operational data'!E$47</f>
        <v>618250</v>
      </c>
      <c r="E30" s="48">
        <f>'[51]5. Operational data'!F$47</f>
        <v>624094</v>
      </c>
      <c r="F30" s="48">
        <f>'[51]5. Operational data'!G$47</f>
        <v>628120</v>
      </c>
      <c r="G30" s="48">
        <f>'[51]5. Operational data'!H$47</f>
        <v>633823</v>
      </c>
      <c r="H30" s="48">
        <f>'[51]5. Operational data'!I$47</f>
        <v>641129.77419354848</v>
      </c>
      <c r="I30" s="48">
        <f>'[51]5. Operational data'!J$47</f>
        <v>647892</v>
      </c>
      <c r="J30" s="48">
        <f>'[51]5. Operational data'!K$47</f>
        <v>656516</v>
      </c>
      <c r="K30" s="48">
        <f>'[52]3.4 Operational data'!$E$54</f>
        <v>658453</v>
      </c>
      <c r="L30" s="48">
        <f>'[53]3.4 Operational data'!$E$54</f>
        <v>664549</v>
      </c>
      <c r="M30" s="48">
        <f>'[54]3.4 Operational data'!$D$58</f>
        <v>669826</v>
      </c>
      <c r="N30" s="2"/>
      <c r="P30" s="24">
        <f t="shared" si="1"/>
        <v>656852.5</v>
      </c>
    </row>
    <row r="32" spans="1:17">
      <c r="A32" s="23" t="s">
        <v>35</v>
      </c>
      <c r="B32" s="83" t="s">
        <v>140</v>
      </c>
      <c r="C32" s="17">
        <v>2006</v>
      </c>
      <c r="D32" s="17">
        <v>2007</v>
      </c>
      <c r="E32" s="17">
        <v>2008</v>
      </c>
      <c r="F32" s="17">
        <v>2009</v>
      </c>
      <c r="G32" s="17">
        <v>2010</v>
      </c>
      <c r="H32" s="17">
        <v>2011</v>
      </c>
      <c r="I32" s="17">
        <v>2012</v>
      </c>
      <c r="J32" s="17">
        <v>2013</v>
      </c>
      <c r="K32" s="32">
        <v>2014</v>
      </c>
      <c r="L32" s="17">
        <v>2015</v>
      </c>
      <c r="M32" s="17">
        <v>2016</v>
      </c>
      <c r="P32" s="2" t="s">
        <v>209</v>
      </c>
      <c r="Q32" t="s">
        <v>125</v>
      </c>
    </row>
    <row r="33" spans="1:17">
      <c r="A33" s="17" t="s">
        <v>1</v>
      </c>
      <c r="B33" s="17" t="s">
        <v>40</v>
      </c>
      <c r="C33" s="18">
        <f>'[3]5. Operational data'!D6*1000</f>
        <v>2758259.992773226</v>
      </c>
      <c r="D33" s="18">
        <f>'[3]5. Operational data'!E6*1000</f>
        <v>2820838.4251741935</v>
      </c>
      <c r="E33" s="18">
        <f>'[3]5. Operational data'!F6*1000</f>
        <v>2847302.6528387093</v>
      </c>
      <c r="F33" s="18">
        <f>'[3]5. Operational data'!G6*1000</f>
        <v>2872918.9710000004</v>
      </c>
      <c r="G33" s="18">
        <f>'[3]5. Operational data'!H6*1000</f>
        <v>2896443.0109999999</v>
      </c>
      <c r="H33" s="18">
        <f>'[3]5. Operational data'!I6*1000</f>
        <v>2909890.7379999999</v>
      </c>
      <c r="I33" s="18">
        <f>'[3]5. Operational data'!J6*1000</f>
        <v>2891139.6340000001</v>
      </c>
      <c r="J33" s="18">
        <f>'[3]5. Operational data'!K6*1000</f>
        <v>2903924.452</v>
      </c>
      <c r="K33" s="48">
        <f>'[4]3.4 Operational data'!$E$12*1000</f>
        <v>2829771.9999999995</v>
      </c>
      <c r="L33" s="24">
        <f>'[5]3.4 Operational data'!$E$12*1000</f>
        <v>2856060</v>
      </c>
      <c r="M33" s="24">
        <f>'[6]3.4 Operational data'!$D$12*1000</f>
        <v>2876111.9615949113</v>
      </c>
      <c r="N33" s="2"/>
      <c r="P33" s="24">
        <f t="shared" ref="P33:P45" si="2">AVERAGE(I33:L33)</f>
        <v>2870224.0214999998</v>
      </c>
    </row>
    <row r="34" spans="1:17">
      <c r="A34" s="17" t="s">
        <v>78</v>
      </c>
      <c r="B34" s="17" t="s">
        <v>40</v>
      </c>
      <c r="C34" s="45">
        <f>'[7]5. Operational data'!D6*1000</f>
        <v>30120253.331129856</v>
      </c>
      <c r="D34" s="45">
        <f>'[7]5. Operational data'!E6*1000</f>
        <v>30441837.283128783</v>
      </c>
      <c r="E34" s="45">
        <f>'[7]5. Operational data'!F6*1000</f>
        <v>30555278.457618408</v>
      </c>
      <c r="F34" s="45">
        <f>'[7]5. Operational data'!G6*1000</f>
        <v>30707253.764586236</v>
      </c>
      <c r="G34" s="45">
        <f>'[7]5. Operational data'!H6*1000</f>
        <v>30533414.655190561</v>
      </c>
      <c r="H34" s="45">
        <f>'[7]5. Operational data'!I6*1000</f>
        <v>30569629.007553309</v>
      </c>
      <c r="I34" s="45">
        <f>'[7]5. Operational data'!J6*1000</f>
        <v>29344733.929410949</v>
      </c>
      <c r="J34" s="45">
        <f>'[7]5. Operational data'!K6*1000</f>
        <v>26338085.908875003</v>
      </c>
      <c r="K34" s="48">
        <f>'[8]3.4 Operational data'!$E$12*1000</f>
        <v>25523446.190067999</v>
      </c>
      <c r="L34" s="48">
        <f>'[9]3.4 Operational data'!$E$12*1000</f>
        <v>25630065.756235223</v>
      </c>
      <c r="M34" s="48">
        <f>'[10]3.4 Operational data'!$D$12*1000</f>
        <v>25617656.348244999</v>
      </c>
      <c r="N34" s="2"/>
      <c r="P34" s="24">
        <f t="shared" si="2"/>
        <v>26709082.946147297</v>
      </c>
    </row>
    <row r="35" spans="1:17">
      <c r="A35" s="17" t="s">
        <v>2</v>
      </c>
      <c r="B35" s="17" t="s">
        <v>40</v>
      </c>
      <c r="C35" s="45">
        <f>'[11]5. Operational data'!D6*1000</f>
        <v>5974992.6469298303</v>
      </c>
      <c r="D35" s="45">
        <f>'[11]5. Operational data'!E6*1000</f>
        <v>6079298.2329258369</v>
      </c>
      <c r="E35" s="45">
        <f>'[11]5. Operational data'!F6*1000</f>
        <v>6099596.8399551138</v>
      </c>
      <c r="F35" s="45">
        <f>'[11]5. Operational data'!G6*1000</f>
        <v>6096471.9590413049</v>
      </c>
      <c r="G35" s="45">
        <f>'[11]5. Operational data'!H6*1000</f>
        <v>6209711.0590538876</v>
      </c>
      <c r="H35" s="45">
        <f>'[11]5. Operational data'!I6*1000</f>
        <v>6105050.5741951484</v>
      </c>
      <c r="I35" s="45">
        <f>'[11]5. Operational data'!J6*1000</f>
        <v>6085130.1230161088</v>
      </c>
      <c r="J35" s="45">
        <f>'[11]5. Operational data'!K6*1000</f>
        <v>5981354.9492096296</v>
      </c>
      <c r="K35" s="48">
        <f>'[12]3.4 Operational data'!$E$12*1000</f>
        <v>5919402.0721637094</v>
      </c>
      <c r="L35" s="48">
        <f>'[13]3.4 Operational data'!$E$12*1000</f>
        <v>5944173.0622223001</v>
      </c>
      <c r="M35" s="48">
        <f>'[14]3.4 Operational data'!$D$12*1000</f>
        <v>5877000</v>
      </c>
      <c r="N35" s="2"/>
      <c r="P35" s="24">
        <f t="shared" si="2"/>
        <v>5982515.0516529363</v>
      </c>
    </row>
    <row r="36" spans="1:17">
      <c r="A36" s="17" t="s">
        <v>3</v>
      </c>
      <c r="B36" s="17" t="s">
        <v>40</v>
      </c>
      <c r="C36" s="45">
        <f>'[15]5. Operational data'!D6*1000</f>
        <v>17196000</v>
      </c>
      <c r="D36" s="45">
        <f>'[15]5. Operational data'!E6*1000</f>
        <v>17482559.368937191</v>
      </c>
      <c r="E36" s="45">
        <f>'[15]5. Operational data'!F6*1000</f>
        <v>18111697</v>
      </c>
      <c r="F36" s="45">
        <f>'[15]5. Operational data'!G6*1000</f>
        <v>17425962</v>
      </c>
      <c r="G36" s="45">
        <f>'[15]5. Operational data'!H6*1000</f>
        <v>17410773</v>
      </c>
      <c r="H36" s="45">
        <f>'[15]5. Operational data'!I6*1000</f>
        <v>17501186.278246015</v>
      </c>
      <c r="I36" s="45">
        <f>'[15]5. Operational data'!J6*1000</f>
        <v>16505800.201592276</v>
      </c>
      <c r="J36" s="45">
        <f>'[15]5. Operational data'!K6*1000</f>
        <v>16000807.428106314</v>
      </c>
      <c r="K36" s="48">
        <f>'[16]3.4 Operational data'!$E$12*1000</f>
        <v>15636951.096853025</v>
      </c>
      <c r="L36" s="48">
        <f>'[17]3.4 Operational data'!$E$12*1000</f>
        <v>16127500.730873365</v>
      </c>
      <c r="M36" s="48">
        <f>'[18]3.4 Operational data'!$D$12*1000</f>
        <v>16645296.944436956</v>
      </c>
      <c r="N36" s="2"/>
      <c r="P36" s="24">
        <f t="shared" si="2"/>
        <v>16067764.864356246</v>
      </c>
    </row>
    <row r="37" spans="1:17">
      <c r="A37" s="17" t="s">
        <v>4</v>
      </c>
      <c r="B37" s="17" t="s">
        <v>40</v>
      </c>
      <c r="C37" s="45">
        <f>'[19]5. Operational data'!D6*1000</f>
        <v>20618000</v>
      </c>
      <c r="D37" s="45">
        <f>'[19]5. Operational data'!E6*1000</f>
        <v>20707000</v>
      </c>
      <c r="E37" s="45">
        <f>'[19]5. Operational data'!F6*1000</f>
        <v>21155000</v>
      </c>
      <c r="F37" s="45">
        <f>'[19]5. Operational data'!G6*1000</f>
        <v>21994000</v>
      </c>
      <c r="G37" s="45">
        <f>'[19]5. Operational data'!H6*1000</f>
        <v>22193000</v>
      </c>
      <c r="H37" s="45">
        <f>'[19]5. Operational data'!I6*1000</f>
        <v>21454000</v>
      </c>
      <c r="I37" s="45">
        <f>'[19]5. Operational data'!J6*1000</f>
        <v>21210000</v>
      </c>
      <c r="J37" s="45">
        <f>'[19]5. Operational data'!K6*1000</f>
        <v>21055000</v>
      </c>
      <c r="K37" s="48">
        <f>'[20]3.4 Operational data'!$E$12*1000</f>
        <v>20838067.203162998</v>
      </c>
      <c r="L37" s="48">
        <f>'[21]3.4 Operational data'!$E$12*1000</f>
        <v>21154470.97101</v>
      </c>
      <c r="M37" s="48">
        <f>'[22]3.4 Operational data'!$D$12*1000</f>
        <v>21138128.272040002</v>
      </c>
      <c r="N37" s="2"/>
      <c r="P37" s="24">
        <f t="shared" si="2"/>
        <v>21064384.543543249</v>
      </c>
    </row>
    <row r="38" spans="1:17">
      <c r="A38" s="17" t="s">
        <v>10</v>
      </c>
      <c r="B38" s="17" t="s">
        <v>40</v>
      </c>
      <c r="C38" s="49">
        <f>'[23]5. Operational data'!D6*1000</f>
        <v>13486171</v>
      </c>
      <c r="D38" s="49">
        <f>'[23]5. Operational data'!E6*1000</f>
        <v>13576440</v>
      </c>
      <c r="E38" s="49">
        <f>'[23]5. Operational data'!F6*1000</f>
        <v>13813451</v>
      </c>
      <c r="F38" s="49">
        <f>'[23]5. Operational data'!G6*1000</f>
        <v>14130074.000000002</v>
      </c>
      <c r="G38" s="49">
        <f>'[23]5. Operational data'!H6*1000</f>
        <v>14256528</v>
      </c>
      <c r="H38" s="49">
        <f>'[23]5. Operational data'!I6*1000</f>
        <v>13227153</v>
      </c>
      <c r="I38" s="49">
        <f>'[23]5. Operational data'!J6*1000</f>
        <v>13691726</v>
      </c>
      <c r="J38" s="49">
        <f>'[23]5. Operational data'!K6*1000</f>
        <v>13495528</v>
      </c>
      <c r="K38" s="48">
        <f>'[24]3.4 Operational data'!$E$12*1000</f>
        <v>13716244.895035559</v>
      </c>
      <c r="L38" s="48">
        <f>'[25]3.4 Operational data'!$E$12*1000</f>
        <v>13656127.58507303</v>
      </c>
      <c r="M38" s="48">
        <f>'[26]3.4 Operational data'!$D$12*1000</f>
        <v>13747385.34785644</v>
      </c>
      <c r="N38" s="2"/>
      <c r="P38" s="24">
        <f t="shared" si="2"/>
        <v>13639906.620027147</v>
      </c>
    </row>
    <row r="39" spans="1:17">
      <c r="A39" s="17" t="s">
        <v>5</v>
      </c>
      <c r="B39" s="17" t="s">
        <v>40</v>
      </c>
      <c r="C39" s="49">
        <f>'[27]5. Operational data'!D6*1000</f>
        <v>11964840.000000002</v>
      </c>
      <c r="D39" s="49">
        <f>'[27]5. Operational data'!E6*1000</f>
        <v>11974120</v>
      </c>
      <c r="E39" s="49">
        <f>'[27]5. Operational data'!F6*1000</f>
        <v>12036900.000000002</v>
      </c>
      <c r="F39" s="49">
        <f>'[27]5. Operational data'!G6*1000</f>
        <v>12121430.283</v>
      </c>
      <c r="G39" s="49">
        <f>'[27]5. Operational data'!H6*1000</f>
        <v>12103520.000000002</v>
      </c>
      <c r="H39" s="49">
        <f>'[27]5. Operational data'!I6*1000</f>
        <v>11943293</v>
      </c>
      <c r="I39" s="49">
        <f>'[27]5. Operational data'!J6*1000</f>
        <v>11853304.757472308</v>
      </c>
      <c r="J39" s="49">
        <f>'[27]5. Operational data'!K6*1000</f>
        <v>12291140.578126164</v>
      </c>
      <c r="K39" s="48">
        <f>'[28]3.4 Operational data'!$E$12*1000</f>
        <v>12029802.982677164</v>
      </c>
      <c r="L39" s="48">
        <f>'[29]3.4 Operational data'!$E$12*1000</f>
        <v>12270657.441472903</v>
      </c>
      <c r="M39" s="48">
        <f>'[30]3.4 Operational data'!$D$12*1000</f>
        <v>12313244.188421207</v>
      </c>
      <c r="N39" s="2"/>
      <c r="P39" s="24">
        <f t="shared" si="2"/>
        <v>12111226.439937135</v>
      </c>
    </row>
    <row r="40" spans="1:17">
      <c r="A40" s="17" t="s">
        <v>6</v>
      </c>
      <c r="B40" s="17" t="s">
        <v>40</v>
      </c>
      <c r="C40" s="48">
        <f>'[31]5. Operational data'!D6*1000</f>
        <v>4278000</v>
      </c>
      <c r="D40" s="48">
        <f>'[31]5. Operational data'!E6*1000</f>
        <v>4379000</v>
      </c>
      <c r="E40" s="48">
        <f>'[31]5. Operational data'!F6*1000</f>
        <v>4490000</v>
      </c>
      <c r="F40" s="48">
        <f>'[31]5. Operational data'!G6*1000</f>
        <v>4376000</v>
      </c>
      <c r="G40" s="48">
        <f>'[31]5. Operational data'!H6*1000</f>
        <v>4450000</v>
      </c>
      <c r="H40" s="48">
        <f>'[31]5. Operational data'!I6*1000</f>
        <v>4415000</v>
      </c>
      <c r="I40" s="48">
        <f>'[31]5. Operational data'!J6*1000</f>
        <v>4365000</v>
      </c>
      <c r="J40" s="48">
        <f>'[31]5. Operational data'!K6*1000</f>
        <v>4254000</v>
      </c>
      <c r="K40" s="48">
        <f>'[32]3.4 Operational data'!$E$12*1000</f>
        <v>4135521.8560000001</v>
      </c>
      <c r="L40" s="48">
        <f>'[33]3.4 Operational data'!$E$12*1000</f>
        <v>4212017.7640000004</v>
      </c>
      <c r="M40" s="48">
        <f>'[34]3.4 Operational data'!$D$12*1000</f>
        <v>4186892.2570000002</v>
      </c>
      <c r="N40" s="2"/>
      <c r="P40" s="24">
        <f t="shared" si="2"/>
        <v>4241634.9050000003</v>
      </c>
    </row>
    <row r="41" spans="1:17">
      <c r="A41" s="17" t="s">
        <v>7</v>
      </c>
      <c r="B41" s="17" t="s">
        <v>40</v>
      </c>
      <c r="C41" s="48">
        <f>'[35]5. Operational data'!D6*1000</f>
        <v>10147799.590551468</v>
      </c>
      <c r="D41" s="48">
        <f>'[35]5. Operational data'!E6*1000</f>
        <v>10299201.244249921</v>
      </c>
      <c r="E41" s="48">
        <f>'[35]5. Operational data'!F6*1000</f>
        <v>10510327.417061565</v>
      </c>
      <c r="F41" s="48">
        <f>'[35]5. Operational data'!G6*1000</f>
        <v>10490717.127596529</v>
      </c>
      <c r="G41" s="48">
        <f>'[35]5. Operational data'!H6*1000</f>
        <v>10678105.955435442</v>
      </c>
      <c r="H41" s="48">
        <f>'[35]5. Operational data'!I6*1000</f>
        <v>10470676.58658709</v>
      </c>
      <c r="I41" s="48">
        <f>'[35]5. Operational data'!J6*1000</f>
        <v>10743806.137023682</v>
      </c>
      <c r="J41" s="48">
        <f>'[35]5. Operational data'!K6*1000</f>
        <v>10555881.312208893</v>
      </c>
      <c r="K41" s="48">
        <f>'[36]3.4 Operational data'!$E$12*1000</f>
        <v>10332961.914579492</v>
      </c>
      <c r="L41" s="48">
        <f>'[37]3.4 Operational data'!$E$12*1000</f>
        <v>10712655.019176399</v>
      </c>
      <c r="M41" s="48">
        <f>'[38]3.4 Operational data'!$D$12*1000</f>
        <v>10657000</v>
      </c>
      <c r="N41" s="2"/>
      <c r="P41" s="24">
        <f t="shared" si="2"/>
        <v>10586326.095747117</v>
      </c>
    </row>
    <row r="42" spans="1:17">
      <c r="A42" s="17" t="s">
        <v>8</v>
      </c>
      <c r="B42" s="17" t="s">
        <v>40</v>
      </c>
      <c r="C42" s="48">
        <f>'[39]5. Operational data'!D6*1000</f>
        <v>10954500</v>
      </c>
      <c r="D42" s="48">
        <f>'[39]5. Operational data'!E6*1000</f>
        <v>11258599.999999998</v>
      </c>
      <c r="E42" s="48">
        <f>'[39]5. Operational data'!F6*1000</f>
        <v>11344299.999999998</v>
      </c>
      <c r="F42" s="48">
        <f>'[39]5. Operational data'!G6*1000</f>
        <v>11266700.000000002</v>
      </c>
      <c r="G42" s="48">
        <f>'[39]5. Operational data'!H6*1000</f>
        <v>11503500</v>
      </c>
      <c r="H42" s="48">
        <f>'[39]5. Operational data'!I6*1000</f>
        <v>11258900</v>
      </c>
      <c r="I42" s="48">
        <f>'[39]5. Operational data'!J6*1000</f>
        <v>11018600</v>
      </c>
      <c r="J42" s="48">
        <f>'[39]5. Operational data'!K6*1000</f>
        <v>11008100</v>
      </c>
      <c r="K42" s="48">
        <f>'[40]3.4 Operational data'!$E$12*1000</f>
        <v>10603245</v>
      </c>
      <c r="L42" s="48">
        <f>'[41]3.4 Operational data'!$E$12*1000</f>
        <v>10342495.546872092</v>
      </c>
      <c r="M42" s="48">
        <f>'[42]3.4 Operational data'!$D$12*1000</f>
        <v>10355115.90956942</v>
      </c>
      <c r="N42" s="2"/>
      <c r="P42" s="24">
        <f t="shared" si="2"/>
        <v>10743110.136718024</v>
      </c>
    </row>
    <row r="43" spans="1:17">
      <c r="A43" s="17" t="s">
        <v>73</v>
      </c>
      <c r="B43" s="17" t="s">
        <v>40</v>
      </c>
      <c r="C43" s="48">
        <f>'[43]5. Operational data'!D6*1000</f>
        <v>7397903</v>
      </c>
      <c r="D43" s="48">
        <f>'[43]5. Operational data'!E6*1000</f>
        <v>7499952</v>
      </c>
      <c r="E43" s="48">
        <f>'[43]5. Operational data'!F6*1000</f>
        <v>7885814</v>
      </c>
      <c r="F43" s="48">
        <f>'[43]5. Operational data'!G6*1000</f>
        <v>7750028</v>
      </c>
      <c r="G43" s="48">
        <f>'[43]5. Operational data'!H6*1000</f>
        <v>7909096</v>
      </c>
      <c r="H43" s="48">
        <f>'[43]5. Operational data'!I6*1000</f>
        <v>7629531</v>
      </c>
      <c r="I43" s="48">
        <f>'[43]5. Operational data'!J6*1000</f>
        <v>7594743</v>
      </c>
      <c r="J43" s="48">
        <f>'[43]5. Operational data'!K6*1000</f>
        <v>7501000</v>
      </c>
      <c r="K43" s="48">
        <f>'[44]3.4 Operational data'!$E$12*1000</f>
        <v>7447648.9589325637</v>
      </c>
      <c r="L43" s="48">
        <f>'[45]3.4 Operational data'!$E$12*1000</f>
        <v>7686280.9510714468</v>
      </c>
      <c r="M43" s="48">
        <f>'[46]3.4 Operational data'!$D$12*1000</f>
        <v>7559854.3337613102</v>
      </c>
      <c r="N43" s="2"/>
      <c r="P43" s="24">
        <f t="shared" si="2"/>
        <v>7557418.2275010031</v>
      </c>
    </row>
    <row r="44" spans="1:17">
      <c r="A44" s="17" t="s">
        <v>54</v>
      </c>
      <c r="B44" s="17" t="s">
        <v>40</v>
      </c>
      <c r="C44" s="48">
        <f>'[47]5. Operational data'!D6*1000</f>
        <v>4448672.0436592735</v>
      </c>
      <c r="D44" s="48">
        <f>'[47]5. Operational data'!E6*1000</f>
        <v>4417073.6412828732</v>
      </c>
      <c r="E44" s="48">
        <f>'[47]5. Operational data'!F6*1000</f>
        <v>4441049.6229999997</v>
      </c>
      <c r="F44" s="48">
        <f>'[47]5. Operational data'!G6*1000</f>
        <v>4586050.3100572936</v>
      </c>
      <c r="G44" s="48">
        <f>'[47]5. Operational data'!H6*1000</f>
        <v>4545226.7016629204</v>
      </c>
      <c r="H44" s="48">
        <f>'[47]5. Operational data'!I6*1000</f>
        <v>4444815.7984202122</v>
      </c>
      <c r="I44" s="48">
        <f>'[47]5. Operational data'!J6*1000</f>
        <v>4317994.3187365001</v>
      </c>
      <c r="J44" s="48">
        <f>'[47]5. Operational data'!K6*1000</f>
        <v>4247662.0063958997</v>
      </c>
      <c r="K44" s="48">
        <f>'[48]3.4 Operational data'!$E$12*1000</f>
        <v>4111747.7722760304</v>
      </c>
      <c r="L44" s="48">
        <f>'[49]3.4 Operational data'!$E$12*1000</f>
        <v>4185726.622</v>
      </c>
      <c r="M44" s="48">
        <f>'[50]3.4 Operational data'!$D$12*1000</f>
        <v>4243322.0809999993</v>
      </c>
      <c r="N44" s="2"/>
      <c r="P44" s="24">
        <f t="shared" si="2"/>
        <v>4215782.6798521075</v>
      </c>
    </row>
    <row r="45" spans="1:17">
      <c r="A45" s="17" t="s">
        <v>9</v>
      </c>
      <c r="B45" s="17" t="s">
        <v>40</v>
      </c>
      <c r="C45" s="48">
        <f>'[51]5. Operational data'!D6*1000</f>
        <v>7915339.9999999981</v>
      </c>
      <c r="D45" s="48">
        <f>'[51]5. Operational data'!E6*1000</f>
        <v>7972746.5784395067</v>
      </c>
      <c r="E45" s="48">
        <f>'[51]5. Operational data'!F6*1000</f>
        <v>7895859.6747079464</v>
      </c>
      <c r="F45" s="48">
        <f>'[51]5. Operational data'!G6*1000</f>
        <v>8013413.584371075</v>
      </c>
      <c r="G45" s="48">
        <f>'[51]5. Operational data'!H6*1000</f>
        <v>8163283.2633727873</v>
      </c>
      <c r="H45" s="48">
        <f>'[51]5. Operational data'!I6*1000</f>
        <v>8022526.835151705</v>
      </c>
      <c r="I45" s="48">
        <f>'[51]5. Operational data'!J6*1000</f>
        <v>8120628.8165099472</v>
      </c>
      <c r="J45" s="48">
        <f>'[51]5. Operational data'!K6*1000</f>
        <v>7856271.2131410539</v>
      </c>
      <c r="K45" s="48">
        <f>'[52]3.4 Operational data'!$E$12*1000</f>
        <v>7696308.8217114089</v>
      </c>
      <c r="L45" s="48">
        <f>'[53]3.4 Operational data'!$E$12*1000</f>
        <v>7604017.3143628919</v>
      </c>
      <c r="M45" s="48">
        <f>'[54]3.4 Operational data'!$D$12*1000</f>
        <v>8067929.4112470839</v>
      </c>
      <c r="N45" s="2"/>
      <c r="P45" s="24">
        <f t="shared" si="2"/>
        <v>7819306.5414313255</v>
      </c>
    </row>
    <row r="47" spans="1:17">
      <c r="A47" s="23" t="s">
        <v>43</v>
      </c>
      <c r="B47" s="83" t="s">
        <v>141</v>
      </c>
      <c r="C47" s="17">
        <v>2006</v>
      </c>
      <c r="D47" s="17">
        <v>2007</v>
      </c>
      <c r="E47" s="17">
        <v>2008</v>
      </c>
      <c r="F47" s="17">
        <v>2009</v>
      </c>
      <c r="G47" s="17">
        <v>2010</v>
      </c>
      <c r="H47" s="17">
        <v>2011</v>
      </c>
      <c r="I47" s="17">
        <v>2012</v>
      </c>
      <c r="J47" s="17">
        <v>2013</v>
      </c>
      <c r="K47" s="32">
        <v>2014</v>
      </c>
      <c r="L47" s="17">
        <v>2015</v>
      </c>
      <c r="M47" s="17">
        <v>2016</v>
      </c>
      <c r="P47" s="2" t="s">
        <v>209</v>
      </c>
      <c r="Q47" t="s">
        <v>126</v>
      </c>
    </row>
    <row r="48" spans="1:17">
      <c r="A48" s="17" t="s">
        <v>1</v>
      </c>
      <c r="B48" s="17" t="s">
        <v>39</v>
      </c>
      <c r="C48" s="18">
        <f>'[3]5. Operational data'!D66</f>
        <v>630.12</v>
      </c>
      <c r="D48" s="18">
        <f>'[3]5. Operational data'!E66</f>
        <v>610.67999999999995</v>
      </c>
      <c r="E48" s="18">
        <f>'[3]5. Operational data'!F66</f>
        <v>625.12800000000004</v>
      </c>
      <c r="F48" s="18">
        <f>'[3]5. Operational data'!G66</f>
        <v>615.16800000000001</v>
      </c>
      <c r="G48" s="18">
        <f>'[3]5. Operational data'!H66</f>
        <v>617.76</v>
      </c>
      <c r="H48" s="18">
        <f>'[3]5. Operational data'!I66</f>
        <v>620.80999999999995</v>
      </c>
      <c r="I48" s="18">
        <f>'[3]5. Operational data'!J66</f>
        <v>701.69200000000001</v>
      </c>
      <c r="J48" s="18">
        <f>'[3]5. Operational data'!K66</f>
        <v>697.803</v>
      </c>
      <c r="K48" s="81">
        <f>'[4]3.4 Operational data'!$E$86</f>
        <v>669.9</v>
      </c>
      <c r="L48" s="24">
        <f>'[5]3.4 Operational data'!$E$86</f>
        <v>723.98900000000003</v>
      </c>
      <c r="M48" s="24">
        <f>'[6]3.4 Operational data'!$D$94</f>
        <v>669.24199999999996</v>
      </c>
      <c r="N48" s="2"/>
      <c r="P48" s="24">
        <f t="shared" ref="P48:P60" si="3">AVERAGE(I48:L48)</f>
        <v>698.346</v>
      </c>
    </row>
    <row r="49" spans="1:17">
      <c r="A49" s="17" t="s">
        <v>78</v>
      </c>
      <c r="B49" s="17" t="s">
        <v>39</v>
      </c>
      <c r="C49" s="45">
        <f>'[7]5. Operational data'!D66</f>
        <v>6109.7635599999994</v>
      </c>
      <c r="D49" s="45">
        <f>'[7]5. Operational data'!E66</f>
        <v>6019.4088400000019</v>
      </c>
      <c r="E49" s="45">
        <f>'[7]5. Operational data'!F66</f>
        <v>6280.2569099999992</v>
      </c>
      <c r="F49" s="45">
        <f>'[7]5. Operational data'!G66</f>
        <v>6372.643</v>
      </c>
      <c r="G49" s="45">
        <f>'[7]5. Operational data'!H66</f>
        <v>6305.1046800000004</v>
      </c>
      <c r="H49" s="45">
        <f>'[7]5. Operational data'!I66</f>
        <v>6555.2656999999999</v>
      </c>
      <c r="I49" s="45">
        <f>'[7]5. Operational data'!J66</f>
        <v>5958.1553700000004</v>
      </c>
      <c r="J49" s="45">
        <f>'[7]5. Operational data'!K66</f>
        <v>6004.7919040678617</v>
      </c>
      <c r="K49" s="81">
        <f>'[8]3.4 Operational data'!$E$86</f>
        <v>5165.4497899999997</v>
      </c>
      <c r="L49" s="48">
        <f>'[9]3.4 Operational data'!$E$86</f>
        <v>5367.3402900000001</v>
      </c>
      <c r="M49" s="48">
        <f>'[10]3.4 Operational data'!$D$94</f>
        <v>5798.3421600000001</v>
      </c>
      <c r="N49" s="2"/>
      <c r="P49" s="24">
        <f t="shared" si="3"/>
        <v>5623.934338516965</v>
      </c>
    </row>
    <row r="50" spans="1:17">
      <c r="A50" s="17" t="s">
        <v>2</v>
      </c>
      <c r="B50" s="17" t="s">
        <v>39</v>
      </c>
      <c r="C50" s="45">
        <f>'[11]5. Operational data'!D66</f>
        <v>1311.96</v>
      </c>
      <c r="D50" s="45">
        <f>'[11]5. Operational data'!E66</f>
        <v>1348.64</v>
      </c>
      <c r="E50" s="45">
        <f>'[11]5. Operational data'!F66</f>
        <v>1410.96</v>
      </c>
      <c r="F50" s="45">
        <f>'[11]5. Operational data'!G66</f>
        <v>1448.8</v>
      </c>
      <c r="G50" s="45">
        <f>'[11]5. Operational data'!H66</f>
        <v>1389.2</v>
      </c>
      <c r="H50" s="45">
        <f>'[11]5. Operational data'!I66</f>
        <v>1432.5</v>
      </c>
      <c r="I50" s="45">
        <f>'[11]5. Operational data'!J66</f>
        <v>1358.8</v>
      </c>
      <c r="J50" s="45">
        <f>'[11]5. Operational data'!K66</f>
        <v>1447.9</v>
      </c>
      <c r="K50" s="81">
        <f>'[12]3.4 Operational data'!$E$86</f>
        <v>1439.3200000000002</v>
      </c>
      <c r="L50" s="48">
        <f>'[13]3.4 Operational data'!$E$86</f>
        <v>1244.1674392</v>
      </c>
      <c r="M50" s="48">
        <f>'[14]3.4 Operational data'!$D$94</f>
        <v>1373</v>
      </c>
      <c r="N50" s="2"/>
      <c r="P50" s="24">
        <f t="shared" si="3"/>
        <v>1372.5468598000002</v>
      </c>
    </row>
    <row r="51" spans="1:17">
      <c r="A51" s="17" t="s">
        <v>3</v>
      </c>
      <c r="B51" s="17" t="s">
        <v>39</v>
      </c>
      <c r="C51" s="45">
        <f>'[15]5. Operational data'!D66</f>
        <v>3779.0286552165171</v>
      </c>
      <c r="D51" s="45">
        <f>'[15]5. Operational data'!E66</f>
        <v>3704.4117377395846</v>
      </c>
      <c r="E51" s="45">
        <f>'[15]5. Operational data'!F66</f>
        <v>3690.1265355056503</v>
      </c>
      <c r="F51" s="45">
        <f>'[15]5. Operational data'!G66</f>
        <v>4004.2594068622934</v>
      </c>
      <c r="G51" s="45">
        <f>'[15]5. Operational data'!H66</f>
        <v>3928.5643727093911</v>
      </c>
      <c r="H51" s="45">
        <f>'[15]5. Operational data'!I66</f>
        <v>4162.0593220702658</v>
      </c>
      <c r="I51" s="45">
        <f>'[15]5. Operational data'!J66</f>
        <v>3377.3132282157821</v>
      </c>
      <c r="J51" s="45">
        <f>'[15]5. Operational data'!K66</f>
        <v>3825.0089998997355</v>
      </c>
      <c r="K51" s="81">
        <f>'[16]3.4 Operational data'!$E$86</f>
        <v>3361.1572785849503</v>
      </c>
      <c r="L51" s="48">
        <f>'[17]3.4 Operational data'!$E$86</f>
        <v>3592.95984146705</v>
      </c>
      <c r="M51" s="48">
        <f>'[18]3.4 Operational data'!$D$94</f>
        <v>4096.7470725323228</v>
      </c>
      <c r="N51" s="2"/>
      <c r="P51" s="24">
        <f t="shared" si="3"/>
        <v>3539.1098370418795</v>
      </c>
    </row>
    <row r="52" spans="1:17">
      <c r="A52" s="17" t="s">
        <v>4</v>
      </c>
      <c r="B52" s="17" t="s">
        <v>39</v>
      </c>
      <c r="C52" s="45">
        <f>'[19]5. Operational data'!D71</f>
        <v>4225.3853993415833</v>
      </c>
      <c r="D52" s="45">
        <f>'[19]5. Operational data'!E71</f>
        <v>4618</v>
      </c>
      <c r="E52" s="45">
        <f>'[19]5. Operational data'!F71</f>
        <v>4796.7614080429075</v>
      </c>
      <c r="F52" s="45">
        <f>'[19]5. Operational data'!G71</f>
        <v>5027.5095144271854</v>
      </c>
      <c r="G52" s="45">
        <f>'[19]5. Operational data'!H71</f>
        <v>5297.7098321914673</v>
      </c>
      <c r="H52" s="45">
        <f>'[19]5. Operational data'!I71</f>
        <v>5048.767879486084</v>
      </c>
      <c r="I52" s="45">
        <f>'[19]5. Operational data'!J71</f>
        <v>4633.7388401031494</v>
      </c>
      <c r="J52" s="45">
        <f>'[19]5. Operational data'!K71</f>
        <v>4685.886848449707</v>
      </c>
      <c r="K52" s="81">
        <f>'[20]3.4 Operational data'!$E$86</f>
        <v>4518.2367792129517</v>
      </c>
      <c r="L52" s="48">
        <f>'[21]3.4 Operational data'!$E$86</f>
        <v>4744.3609999999999</v>
      </c>
      <c r="M52" s="48">
        <f>'[22]3.4 Operational data'!$D$94</f>
        <v>4807.4521409677127</v>
      </c>
      <c r="N52" s="2"/>
      <c r="P52" s="24">
        <f t="shared" si="3"/>
        <v>4645.5558669414522</v>
      </c>
    </row>
    <row r="53" spans="1:17">
      <c r="A53" s="17" t="s">
        <v>10</v>
      </c>
      <c r="B53" s="17" t="s">
        <v>39</v>
      </c>
      <c r="C53" s="49">
        <f>'[23]5. Operational data'!D66</f>
        <v>2804.212</v>
      </c>
      <c r="D53" s="49">
        <f>'[23]5. Operational data'!E66</f>
        <v>2851.5990000000002</v>
      </c>
      <c r="E53" s="49">
        <f>'[23]5. Operational data'!F66</f>
        <v>3078.596</v>
      </c>
      <c r="F53" s="49">
        <f>'[23]5. Operational data'!G66</f>
        <v>3040.864</v>
      </c>
      <c r="G53" s="49">
        <f>'[23]5. Operational data'!H66</f>
        <v>3238.0459999999998</v>
      </c>
      <c r="H53" s="49">
        <f>'[23]5. Operational data'!I66</f>
        <v>3057.3649999999998</v>
      </c>
      <c r="I53" s="49">
        <f>'[23]5. Operational data'!J66</f>
        <v>3212.5889999999999</v>
      </c>
      <c r="J53" s="49">
        <f>'[23]5. Operational data'!K66</f>
        <v>3149.4879999999998</v>
      </c>
      <c r="K53" s="81">
        <f>'[24]3.4 Operational data'!$E$86</f>
        <v>3083.3670000000006</v>
      </c>
      <c r="L53" s="48">
        <f>'[25]3.4 Operational data'!$E$86</f>
        <v>3113.0050005912781</v>
      </c>
      <c r="M53" s="48">
        <f>'[26]3.4 Operational data'!$D$94</f>
        <v>3060.0929908752441</v>
      </c>
      <c r="N53" s="2"/>
      <c r="P53" s="24">
        <f t="shared" si="3"/>
        <v>3139.6122501478194</v>
      </c>
    </row>
    <row r="54" spans="1:17">
      <c r="A54" s="17" t="s">
        <v>5</v>
      </c>
      <c r="B54" s="17" t="s">
        <v>39</v>
      </c>
      <c r="C54" s="49">
        <f>'[27]5. Operational data'!D66</f>
        <v>2473.7940716784001</v>
      </c>
      <c r="D54" s="49">
        <f>'[27]5. Operational data'!E66</f>
        <v>2586.2495781620114</v>
      </c>
      <c r="E54" s="49">
        <f>'[27]5. Operational data'!F66</f>
        <v>2558.2119877434948</v>
      </c>
      <c r="F54" s="49">
        <f>'[27]5. Operational data'!G66</f>
        <v>2589.0927531859411</v>
      </c>
      <c r="G54" s="49">
        <f>'[27]5. Operational data'!H66</f>
        <v>2589.9727824338265</v>
      </c>
      <c r="H54" s="49">
        <f>'[27]5. Operational data'!I66</f>
        <v>2541.7860612408399</v>
      </c>
      <c r="I54" s="49">
        <f>'[27]5. Operational data'!J66</f>
        <v>2462.9661823770557</v>
      </c>
      <c r="J54" s="49">
        <f>'[27]5. Operational data'!K66</f>
        <v>2562.8678676928703</v>
      </c>
      <c r="K54" s="81">
        <f>'[28]3.4 Operational data'!$E$86</f>
        <v>2967.8844979999994</v>
      </c>
      <c r="L54" s="48">
        <f>'[29]3.4 Operational data'!$E$86</f>
        <v>2724.0675079999996</v>
      </c>
      <c r="M54" s="48">
        <f>'[30]3.4 Operational data'!$D$94</f>
        <v>2847.7780039999998</v>
      </c>
      <c r="N54" s="2"/>
      <c r="P54" s="24">
        <f t="shared" si="3"/>
        <v>2679.4465140174811</v>
      </c>
    </row>
    <row r="55" spans="1:17">
      <c r="A55" s="17" t="s">
        <v>6</v>
      </c>
      <c r="B55" s="17" t="s">
        <v>39</v>
      </c>
      <c r="C55" s="48">
        <f>'[31]5. Operational data'!D66</f>
        <v>836.98500799999988</v>
      </c>
      <c r="D55" s="48">
        <f>'[31]5. Operational data'!E66</f>
        <v>901.72535600000003</v>
      </c>
      <c r="E55" s="48">
        <f>'[31]5. Operational data'!F66</f>
        <v>958.34431600000005</v>
      </c>
      <c r="F55" s="48">
        <f>'[31]5. Operational data'!G66</f>
        <v>1019.66512</v>
      </c>
      <c r="G55" s="48">
        <f>'[31]5. Operational data'!H66</f>
        <v>993.45596399999999</v>
      </c>
      <c r="H55" s="48">
        <f>'[31]5. Operational data'!I66</f>
        <v>1017.0411079999999</v>
      </c>
      <c r="I55" s="48">
        <f>'[31]5. Operational data'!J66</f>
        <v>892.44925200000012</v>
      </c>
      <c r="J55" s="48">
        <f>'[31]5. Operational data'!K66</f>
        <v>977</v>
      </c>
      <c r="K55" s="81">
        <f>'[32]3.4 Operational data'!$E$86</f>
        <v>1013.292990106</v>
      </c>
      <c r="L55" s="48">
        <f>'[33]3.4 Operational data'!$E$86</f>
        <v>876.42929976799996</v>
      </c>
      <c r="M55" s="48">
        <f>'[34]3.4 Operational data'!$D$94</f>
        <v>987.00584000000003</v>
      </c>
      <c r="N55" s="2"/>
      <c r="P55" s="24">
        <f t="shared" si="3"/>
        <v>939.7928854685</v>
      </c>
    </row>
    <row r="56" spans="1:17">
      <c r="A56" s="17" t="s">
        <v>7</v>
      </c>
      <c r="B56" s="17" t="s">
        <v>39</v>
      </c>
      <c r="C56" s="48">
        <f>'[35]5. Operational data'!D66</f>
        <v>2069.6999999999998</v>
      </c>
      <c r="D56" s="48">
        <f>'[35]5. Operational data'!E66</f>
        <v>2183.549</v>
      </c>
      <c r="E56" s="48">
        <f>'[35]5. Operational data'!F66</f>
        <v>2313.63</v>
      </c>
      <c r="F56" s="48">
        <f>'[35]5. Operational data'!G66</f>
        <v>2516.69</v>
      </c>
      <c r="G56" s="48">
        <f>'[35]5. Operational data'!H66</f>
        <v>2446.64</v>
      </c>
      <c r="H56" s="48">
        <f>'[35]5. Operational data'!I66</f>
        <v>2383.48</v>
      </c>
      <c r="I56" s="48">
        <f>'[35]5. Operational data'!J66</f>
        <v>2267.0300000000002</v>
      </c>
      <c r="J56" s="48">
        <f>'[35]5. Operational data'!K66</f>
        <v>2413.48</v>
      </c>
      <c r="K56" s="81">
        <f>'[36]3.4 Operational data'!$E$86</f>
        <v>2571.31</v>
      </c>
      <c r="L56" s="48">
        <f>'[37]3.4 Operational data'!$E$86</f>
        <v>2301.43869</v>
      </c>
      <c r="M56" s="48">
        <f>'[38]3.4 Operational data'!$D$94</f>
        <v>2524</v>
      </c>
      <c r="N56" s="2"/>
      <c r="P56" s="24">
        <f t="shared" si="3"/>
        <v>2388.3146724999997</v>
      </c>
    </row>
    <row r="57" spans="1:17">
      <c r="A57" s="17" t="s">
        <v>8</v>
      </c>
      <c r="B57" s="17" t="s">
        <v>39</v>
      </c>
      <c r="C57" s="48">
        <f>'[39]5. Operational data'!D66</f>
        <v>2765.2886759999997</v>
      </c>
      <c r="D57" s="48">
        <f>'[39]5. Operational data'!E66</f>
        <v>2746.0278239999989</v>
      </c>
      <c r="E57" s="48">
        <f>'[39]5. Operational data'!F66</f>
        <v>2959.9079359999992</v>
      </c>
      <c r="F57" s="48">
        <f>'[39]5. Operational data'!G66</f>
        <v>3192.7919959999999</v>
      </c>
      <c r="G57" s="48">
        <f>'[39]5. Operational data'!H66</f>
        <v>3096.2725459999997</v>
      </c>
      <c r="H57" s="48">
        <f>'[39]5. Operational data'!I66</f>
        <v>3096.3392140000005</v>
      </c>
      <c r="I57" s="48">
        <f>'[39]5. Operational data'!J66</f>
        <v>2768.2162320000007</v>
      </c>
      <c r="J57" s="48">
        <f>'[39]5. Operational data'!K66</f>
        <v>2902.2357060000004</v>
      </c>
      <c r="K57" s="81">
        <f>'[40]3.4 Operational data'!$E$86</f>
        <v>3048.9762520000008</v>
      </c>
      <c r="L57" s="48">
        <f>'[41]3.4 Operational data'!$E$86</f>
        <v>2746.4357560000008</v>
      </c>
      <c r="M57" s="48">
        <f>'[42]3.4 Operational data'!$D$94</f>
        <v>2775.961812</v>
      </c>
      <c r="N57" s="2"/>
      <c r="P57" s="24">
        <f t="shared" si="3"/>
        <v>2866.4659865000008</v>
      </c>
    </row>
    <row r="58" spans="1:17">
      <c r="A58" s="17" t="s">
        <v>73</v>
      </c>
      <c r="B58" s="17" t="s">
        <v>39</v>
      </c>
      <c r="C58" s="48">
        <f>'[43]5. Operational data'!D66</f>
        <v>1616.768</v>
      </c>
      <c r="D58" s="48">
        <f>'[43]5. Operational data'!E66</f>
        <v>1689.1969999999999</v>
      </c>
      <c r="E58" s="48">
        <f>'[43]5. Operational data'!F66</f>
        <v>1801.394</v>
      </c>
      <c r="F58" s="48">
        <f>'[43]5. Operational data'!G66</f>
        <v>1930.9923280742942</v>
      </c>
      <c r="G58" s="48">
        <f>'[43]5. Operational data'!H66</f>
        <v>1937.7042640000002</v>
      </c>
      <c r="H58" s="48">
        <f>'[43]5. Operational data'!I66</f>
        <v>1838.4723519999998</v>
      </c>
      <c r="I58" s="48">
        <f>'[43]5. Operational data'!J66</f>
        <v>1793.2554840000003</v>
      </c>
      <c r="J58" s="48">
        <f>'[43]5. Operational data'!K66</f>
        <v>1881.4148680000001</v>
      </c>
      <c r="K58" s="81">
        <f>'[44]3.4 Operational data'!$E$86</f>
        <v>1942.955156</v>
      </c>
      <c r="L58" s="48">
        <f>'[45]3.4 Operational data'!$E$86</f>
        <v>1816.759</v>
      </c>
      <c r="M58" s="48">
        <f>'[46]3.4 Operational data'!$D$94</f>
        <v>1951.7954540000003</v>
      </c>
      <c r="N58" s="2"/>
      <c r="P58" s="24">
        <f t="shared" si="3"/>
        <v>1858.596127</v>
      </c>
    </row>
    <row r="59" spans="1:17">
      <c r="A59" s="17" t="s">
        <v>54</v>
      </c>
      <c r="B59" s="17" t="s">
        <v>39</v>
      </c>
      <c r="C59" s="48">
        <f>'[47]5. Operational data'!D66</f>
        <v>1063</v>
      </c>
      <c r="D59" s="48">
        <f>'[47]5. Operational data'!E66</f>
        <v>1148</v>
      </c>
      <c r="E59" s="48">
        <f>'[47]5. Operational data'!F66</f>
        <v>1154</v>
      </c>
      <c r="F59" s="48">
        <f>'[47]5. Operational data'!G66</f>
        <v>1134</v>
      </c>
      <c r="G59" s="48">
        <f>'[47]5. Operational data'!H66</f>
        <v>1111</v>
      </c>
      <c r="H59" s="48">
        <f>'[47]5. Operational data'!I66</f>
        <v>1082</v>
      </c>
      <c r="I59" s="48">
        <f>'[47]5. Operational data'!J66</f>
        <v>1042</v>
      </c>
      <c r="J59" s="48">
        <f>'[47]5. Operational data'!K66</f>
        <v>1022</v>
      </c>
      <c r="K59" s="81">
        <f>'[48]3.4 Operational data'!$E$86</f>
        <v>1052.3589992046859</v>
      </c>
      <c r="L59" s="48">
        <f>'[49]3.4 Operational data'!$E$86</f>
        <v>1044.2505460000002</v>
      </c>
      <c r="M59" s="48">
        <f>'[50]3.4 Operational data'!$D$94</f>
        <v>1075.0388159999998</v>
      </c>
      <c r="N59" s="2"/>
      <c r="P59" s="24">
        <f t="shared" si="3"/>
        <v>1040.1523863011716</v>
      </c>
    </row>
    <row r="60" spans="1:17">
      <c r="A60" s="17" t="s">
        <v>9</v>
      </c>
      <c r="B60" s="17" t="s">
        <v>39</v>
      </c>
      <c r="C60" s="48">
        <f>'[51]5. Operational data'!D66</f>
        <v>1724.0199811842649</v>
      </c>
      <c r="D60" s="48">
        <f>'[51]5. Operational data'!E66</f>
        <v>1819.6447694965107</v>
      </c>
      <c r="E60" s="48">
        <f>'[51]5. Operational data'!F66</f>
        <v>1949.339970447654</v>
      </c>
      <c r="F60" s="48">
        <f>'[51]5. Operational data'!G66</f>
        <v>2136.7421945133965</v>
      </c>
      <c r="G60" s="48">
        <f>'[51]5. Operational data'!H66</f>
        <v>2038.7711396030913</v>
      </c>
      <c r="H60" s="48">
        <f>'[51]5. Operational data'!I66</f>
        <v>1975.2444353678161</v>
      </c>
      <c r="I60" s="48">
        <f>'[51]5. Operational data'!J66</f>
        <v>1814.848504</v>
      </c>
      <c r="J60" s="48">
        <f>'[51]5. Operational data'!K66</f>
        <v>2037.0437320000003</v>
      </c>
      <c r="K60" s="81">
        <f>'[52]3.4 Operational data'!$E$86</f>
        <v>2142.611222</v>
      </c>
      <c r="L60" s="48">
        <f>'[53]3.4 Operational data'!$E$86</f>
        <v>1823.9849107887967</v>
      </c>
      <c r="M60" s="48">
        <f>'[54]3.4 Operational data'!$D$94</f>
        <v>2008.7</v>
      </c>
      <c r="N60" s="2"/>
      <c r="P60" s="24">
        <f t="shared" si="3"/>
        <v>1954.6220921971994</v>
      </c>
      <c r="Q60" s="2"/>
    </row>
    <row r="61" spans="1:17">
      <c r="C61" s="24"/>
      <c r="D61" s="24"/>
      <c r="E61" s="24"/>
      <c r="F61" s="24"/>
      <c r="G61" s="24"/>
      <c r="H61" s="24"/>
      <c r="I61" s="24"/>
      <c r="J61" s="24"/>
      <c r="K61" s="24"/>
      <c r="L61" s="24"/>
      <c r="M61" s="24"/>
    </row>
    <row r="62" spans="1:17">
      <c r="A62" s="23" t="s">
        <v>77</v>
      </c>
      <c r="B62" s="83" t="s">
        <v>142</v>
      </c>
      <c r="C62" s="17">
        <v>2006</v>
      </c>
      <c r="D62" s="17">
        <v>2007</v>
      </c>
      <c r="E62" s="17">
        <v>2008</v>
      </c>
      <c r="F62" s="17">
        <v>2009</v>
      </c>
      <c r="G62" s="17">
        <v>2010</v>
      </c>
      <c r="H62" s="17">
        <v>2011</v>
      </c>
      <c r="I62" s="17">
        <v>2012</v>
      </c>
      <c r="J62" s="17">
        <v>2013</v>
      </c>
      <c r="K62" s="32">
        <v>2014</v>
      </c>
      <c r="L62" s="17">
        <v>2015</v>
      </c>
      <c r="M62" s="17">
        <v>2016</v>
      </c>
      <c r="P62" s="2" t="s">
        <v>209</v>
      </c>
    </row>
    <row r="63" spans="1:17">
      <c r="A63" s="17" t="s">
        <v>1</v>
      </c>
      <c r="B63" s="17" t="s">
        <v>100</v>
      </c>
      <c r="C63" s="18">
        <f>'[3]6. Physical Assets'!D47</f>
        <v>1682</v>
      </c>
      <c r="D63" s="18">
        <f>'[3]6. Physical Assets'!E47</f>
        <v>1752</v>
      </c>
      <c r="E63" s="18">
        <f>'[3]6. Physical Assets'!F47</f>
        <v>1811</v>
      </c>
      <c r="F63" s="18">
        <f>'[3]6. Physical Assets'!G47</f>
        <v>1882</v>
      </c>
      <c r="G63" s="18">
        <f>'[3]6. Physical Assets'!H47</f>
        <v>1937</v>
      </c>
      <c r="H63" s="18">
        <f>'[3]6. Physical Assets'!I47</f>
        <v>1971</v>
      </c>
      <c r="I63" s="18">
        <f>'[3]6. Physical Assets'!J47</f>
        <v>1993</v>
      </c>
      <c r="J63" s="18">
        <f>'[3]6. Physical Assets'!K47</f>
        <v>2052.4</v>
      </c>
      <c r="K63" s="48">
        <f>'[4]3.5 Physical assets'!$E$78</f>
        <v>2100.0740000000001</v>
      </c>
      <c r="L63" s="18">
        <f>'[5]3.5 Physical assets'!$E$78</f>
        <v>2151.0149999999999</v>
      </c>
      <c r="M63" s="18">
        <f>'[6]3.5 Physical assets'!$C$79</f>
        <v>2183.3710000000001</v>
      </c>
      <c r="N63" s="2"/>
      <c r="P63" s="24">
        <f t="shared" ref="P63:P75" si="4">AVERAGE(I63:L63)</f>
        <v>2074.1222499999999</v>
      </c>
      <c r="Q63" t="s">
        <v>131</v>
      </c>
    </row>
    <row r="64" spans="1:17">
      <c r="A64" s="17" t="s">
        <v>78</v>
      </c>
      <c r="B64" s="17" t="s">
        <v>100</v>
      </c>
      <c r="C64" s="45">
        <f>'[7]6. Physical Assets'!D51</f>
        <v>12608.59430979979</v>
      </c>
      <c r="D64" s="45">
        <f>'[7]6. Physical Assets'!E51</f>
        <v>13215.375131717597</v>
      </c>
      <c r="E64" s="45">
        <f>'[7]6. Physical Assets'!F51</f>
        <v>13725.693361433088</v>
      </c>
      <c r="F64" s="45">
        <f>'[7]6. Physical Assets'!G51</f>
        <v>13932.714680189674</v>
      </c>
      <c r="G64" s="45">
        <f>'[7]6. Physical Assets'!H51</f>
        <v>14139.735998946258</v>
      </c>
      <c r="H64" s="45">
        <f>'[7]6. Physical Assets'!I51</f>
        <v>14150.844463294696</v>
      </c>
      <c r="I64" s="45">
        <f>'[7]6. Physical Assets'!J51</f>
        <v>14544.714546891466</v>
      </c>
      <c r="J64" s="45">
        <f>'[7]6. Physical Assets'!K51</f>
        <v>14765</v>
      </c>
      <c r="K64" s="48">
        <f>'[8]3.5 Physical assets'!$E$78</f>
        <v>15179.44</v>
      </c>
      <c r="L64" s="18">
        <f>'[9]3.5 Physical assets'!$E$78</f>
        <v>15296.409</v>
      </c>
      <c r="M64" s="18">
        <f>'[10]3.5 Physical assets'!$C$79</f>
        <v>15766.663</v>
      </c>
      <c r="N64" s="2"/>
      <c r="P64" s="24">
        <f t="shared" si="4"/>
        <v>14946.390886722867</v>
      </c>
    </row>
    <row r="65" spans="1:25">
      <c r="A65" s="17" t="s">
        <v>2</v>
      </c>
      <c r="B65" s="17" t="s">
        <v>100</v>
      </c>
      <c r="C65" s="45">
        <f>'[11]6. Physical Assets'!D52</f>
        <v>3400.21</v>
      </c>
      <c r="D65" s="45">
        <f>'[11]6. Physical Assets'!E52</f>
        <v>3467.06</v>
      </c>
      <c r="E65" s="45">
        <f>'[11]6. Physical Assets'!F52</f>
        <v>3691.91</v>
      </c>
      <c r="F65" s="45">
        <f>'[11]6. Physical Assets'!G52</f>
        <v>3775.44</v>
      </c>
      <c r="G65" s="45">
        <f>'[11]6. Physical Assets'!H52</f>
        <v>3873.29</v>
      </c>
      <c r="H65" s="45">
        <f>'[11]6. Physical Assets'!I52</f>
        <v>3919.49</v>
      </c>
      <c r="I65" s="45">
        <f>'[11]6. Physical Assets'!J52</f>
        <v>3967.91</v>
      </c>
      <c r="J65" s="45">
        <f>'[11]6. Physical Assets'!K52</f>
        <v>4080.51</v>
      </c>
      <c r="K65" s="48">
        <f>'[12]3.5 Physical assets'!$E$78</f>
        <v>4170.99</v>
      </c>
      <c r="L65" s="18">
        <f>'[13]3.5 Physical assets'!$E$78</f>
        <v>4252.6000000000004</v>
      </c>
      <c r="M65" s="18">
        <f>'[14]3.5 Physical assets'!$C$79</f>
        <v>4345</v>
      </c>
      <c r="N65" s="2"/>
      <c r="P65" s="24">
        <f t="shared" si="4"/>
        <v>4118.0025000000005</v>
      </c>
    </row>
    <row r="66" spans="1:25">
      <c r="A66" s="17" t="s">
        <v>3</v>
      </c>
      <c r="B66" s="17" t="s">
        <v>100</v>
      </c>
      <c r="C66" s="45">
        <f>'[15]6. Physical Assets'!D51</f>
        <v>7393.9449999999997</v>
      </c>
      <c r="D66" s="45">
        <f>'[15]6. Physical Assets'!E51</f>
        <v>7717.0170000000007</v>
      </c>
      <c r="E66" s="45">
        <f>'[15]6. Physical Assets'!F51</f>
        <v>8055.5770000000002</v>
      </c>
      <c r="F66" s="45">
        <f>'[15]6. Physical Assets'!G51</f>
        <v>8305.107</v>
      </c>
      <c r="G66" s="45">
        <f>'[15]6. Physical Assets'!H51</f>
        <v>8534.1590000000015</v>
      </c>
      <c r="H66" s="45">
        <f>'[15]6. Physical Assets'!I51</f>
        <v>8791.93</v>
      </c>
      <c r="I66" s="45">
        <f>'[15]6. Physical Assets'!J51</f>
        <v>9007.5589999999993</v>
      </c>
      <c r="J66" s="45">
        <f>'[15]6. Physical Assets'!K51</f>
        <v>9222.1629999999986</v>
      </c>
      <c r="K66" s="48">
        <f>'[16]3.5 Physical assets'!$E$78</f>
        <v>9439.9030000000002</v>
      </c>
      <c r="L66" s="18">
        <f>'[17]3.5 Physical assets'!$E$78</f>
        <v>9597.2309999999998</v>
      </c>
      <c r="M66" s="18">
        <f>'[18]3.5 Physical assets'!$C$79</f>
        <v>9970.3559999999998</v>
      </c>
      <c r="N66" s="2"/>
      <c r="P66" s="24">
        <f t="shared" si="4"/>
        <v>9316.7139999999999</v>
      </c>
    </row>
    <row r="67" spans="1:25">
      <c r="A67" s="17" t="s">
        <v>4</v>
      </c>
      <c r="B67" s="17" t="s">
        <v>100</v>
      </c>
      <c r="C67" s="45">
        <f>'[19]6. Physical Assets'!D47</f>
        <v>9564</v>
      </c>
      <c r="D67" s="45">
        <f>'[19]6. Physical Assets'!E47</f>
        <v>10375</v>
      </c>
      <c r="E67" s="45">
        <f>'[19]6. Physical Assets'!F47</f>
        <v>11157</v>
      </c>
      <c r="F67" s="45">
        <f>'[19]6. Physical Assets'!G47</f>
        <v>12011</v>
      </c>
      <c r="G67" s="45">
        <f>'[19]6. Physical Assets'!H47</f>
        <v>12591</v>
      </c>
      <c r="H67" s="45">
        <f>'[19]6. Physical Assets'!I47</f>
        <v>13018</v>
      </c>
      <c r="I67" s="45">
        <f>'[19]6. Physical Assets'!J47</f>
        <v>13451.5</v>
      </c>
      <c r="J67" s="45">
        <f>'[19]6. Physical Assets'!K47</f>
        <v>13708.4</v>
      </c>
      <c r="K67" s="48">
        <f>'[20]3.5 Physical assets'!$E$78</f>
        <v>13939.081</v>
      </c>
      <c r="L67" s="18">
        <f>'[21]3.5 Physical assets'!$E$78</f>
        <v>14222.976000000001</v>
      </c>
      <c r="M67" s="18">
        <f>'[22]3.5 Physical assets'!$C$79</f>
        <v>14498.584000000001</v>
      </c>
      <c r="N67" s="2"/>
      <c r="P67" s="24">
        <f t="shared" si="4"/>
        <v>13830.489250000001</v>
      </c>
    </row>
    <row r="68" spans="1:25">
      <c r="A68" s="17" t="s">
        <v>10</v>
      </c>
      <c r="B68" s="17" t="s">
        <v>100</v>
      </c>
      <c r="C68" s="49">
        <f>'[23]6. Physical Assets'!D57</f>
        <v>6380.24</v>
      </c>
      <c r="D68" s="49">
        <f>'[23]6. Physical Assets'!E57</f>
        <v>6540.28</v>
      </c>
      <c r="E68" s="49">
        <f>'[23]6. Physical Assets'!F57</f>
        <v>6700.32</v>
      </c>
      <c r="F68" s="49">
        <f>'[23]6. Physical Assets'!G57</f>
        <v>6860.36</v>
      </c>
      <c r="G68" s="49">
        <f>'[23]6. Physical Assets'!H57</f>
        <v>7020.4</v>
      </c>
      <c r="H68" s="49">
        <f>'[23]6. Physical Assets'!I57</f>
        <v>7180.44</v>
      </c>
      <c r="I68" s="49">
        <f>'[23]6. Physical Assets'!J57</f>
        <v>7340.48</v>
      </c>
      <c r="J68" s="49">
        <f>'[23]6. Physical Assets'!K57</f>
        <v>7500.52</v>
      </c>
      <c r="K68" s="48">
        <f>'[24]3.5 Physical assets'!$E$78</f>
        <v>8213</v>
      </c>
      <c r="L68" s="18">
        <f>'[25]3.5 Physical assets'!$E$78</f>
        <v>8344.1679999999997</v>
      </c>
      <c r="M68" s="18">
        <f>'[26]3.5 Physical assets'!$C$79</f>
        <v>8700.5540000000001</v>
      </c>
      <c r="N68" s="2"/>
      <c r="P68" s="24">
        <f t="shared" si="4"/>
        <v>7849.5419999999995</v>
      </c>
    </row>
    <row r="69" spans="1:25">
      <c r="A69" s="17" t="s">
        <v>5</v>
      </c>
      <c r="B69" s="17" t="s">
        <v>100</v>
      </c>
      <c r="C69" s="49">
        <f>'[27]6. Physical Assets'!D59</f>
        <v>7944.6590000000015</v>
      </c>
      <c r="D69" s="49">
        <f>'[27]6. Physical Assets'!E59</f>
        <v>8407.4790000000012</v>
      </c>
      <c r="E69" s="49">
        <f>'[27]6. Physical Assets'!F59</f>
        <v>8854.3875000000025</v>
      </c>
      <c r="F69" s="49">
        <f>'[27]6. Physical Assets'!G59</f>
        <v>9235.853000000001</v>
      </c>
      <c r="G69" s="49">
        <f>'[27]6. Physical Assets'!H59</f>
        <v>9637.1270000000004</v>
      </c>
      <c r="H69" s="81">
        <f t="shared" ref="H69:J69" si="5">I69</f>
        <v>9661.4609999999993</v>
      </c>
      <c r="I69" s="81">
        <f t="shared" si="5"/>
        <v>9661.4609999999993</v>
      </c>
      <c r="J69" s="81">
        <f t="shared" si="5"/>
        <v>9661.4609999999993</v>
      </c>
      <c r="K69" s="81">
        <f>L69</f>
        <v>9661.4609999999993</v>
      </c>
      <c r="L69" s="18">
        <f>'[29]3.5 Physical assets'!$E$78</f>
        <v>9661.4609999999993</v>
      </c>
      <c r="M69" s="18">
        <f>'[30]3.5 Physical assets'!$C$79</f>
        <v>9859.4145000000008</v>
      </c>
      <c r="N69" s="2"/>
      <c r="P69" s="24">
        <f t="shared" si="4"/>
        <v>9661.4609999999993</v>
      </c>
    </row>
    <row r="70" spans="1:25">
      <c r="A70" s="17" t="s">
        <v>6</v>
      </c>
      <c r="B70" s="17" t="s">
        <v>100</v>
      </c>
      <c r="C70" s="48">
        <f>'[31]6. Physical Assets'!D53</f>
        <v>1825.61</v>
      </c>
      <c r="D70" s="48">
        <f>'[31]6. Physical Assets'!E53</f>
        <v>1864.4365</v>
      </c>
      <c r="E70" s="48">
        <f>'[31]6. Physical Assets'!F53</f>
        <v>2007.2629999999999</v>
      </c>
      <c r="F70" s="48">
        <f>'[31]6. Physical Assets'!G53</f>
        <v>2122.2860000000001</v>
      </c>
      <c r="G70" s="48">
        <f>'[31]6. Physical Assets'!H53</f>
        <v>2084.4229999999998</v>
      </c>
      <c r="H70" s="48">
        <f>'[31]6. Physical Assets'!I53</f>
        <v>2376.16</v>
      </c>
      <c r="I70" s="48">
        <f>'[31]6. Physical Assets'!J53</f>
        <v>2384.1860000000001</v>
      </c>
      <c r="J70" s="48">
        <f>'[31]6. Physical Assets'!K53</f>
        <v>2463.049</v>
      </c>
      <c r="K70" s="48">
        <f>'[32]3.5 Physical assets'!$E$78</f>
        <v>2527.13</v>
      </c>
      <c r="L70" s="18">
        <f>'[33]3.5 Physical assets'!$E$78</f>
        <v>2612</v>
      </c>
      <c r="M70" s="18">
        <f>'[34]3.5 Physical assets'!$C$79</f>
        <v>2677.78</v>
      </c>
      <c r="N70" s="2"/>
      <c r="P70" s="24">
        <f t="shared" si="4"/>
        <v>2496.5912500000004</v>
      </c>
    </row>
    <row r="71" spans="1:25">
      <c r="A71" s="17" t="s">
        <v>7</v>
      </c>
      <c r="B71" s="17" t="s">
        <v>100</v>
      </c>
      <c r="C71" s="48">
        <f>'[35]6. Physical Assets'!D53</f>
        <v>5229.0730000000003</v>
      </c>
      <c r="D71" s="48">
        <f>'[35]6. Physical Assets'!E53</f>
        <v>5374.2036811351909</v>
      </c>
      <c r="E71" s="48">
        <f>'[35]6. Physical Assets'!F53</f>
        <v>5651.232</v>
      </c>
      <c r="F71" s="48">
        <f>'[35]6. Physical Assets'!G53</f>
        <v>5851.8450000000003</v>
      </c>
      <c r="G71" s="48">
        <f>'[35]6. Physical Assets'!H53</f>
        <v>6070.5140000000001</v>
      </c>
      <c r="H71" s="48">
        <f>'[35]6. Physical Assets'!I53</f>
        <v>6261.7740000000003</v>
      </c>
      <c r="I71" s="48">
        <f>'[35]6. Physical Assets'!J53</f>
        <v>6405.6720000000014</v>
      </c>
      <c r="J71" s="48">
        <f>'[35]6. Physical Assets'!K53</f>
        <v>6598.3270000000002</v>
      </c>
      <c r="K71" s="48">
        <f>'[36]3.5 Physical assets'!$E$78</f>
        <v>6757.59</v>
      </c>
      <c r="L71" s="18">
        <f>'[37]3.5 Physical assets'!$E$78</f>
        <v>6913.93</v>
      </c>
      <c r="M71" s="18">
        <f>'[38]3.5 Physical assets'!$C$79</f>
        <v>7079</v>
      </c>
      <c r="N71" s="2"/>
      <c r="P71" s="24">
        <f t="shared" si="4"/>
        <v>6668.8797500000001</v>
      </c>
    </row>
    <row r="72" spans="1:25">
      <c r="A72" s="17" t="s">
        <v>8</v>
      </c>
      <c r="B72" s="17" t="s">
        <v>100</v>
      </c>
      <c r="C72" s="48">
        <f>'[39]6. Physical Assets'!D53</f>
        <v>6580</v>
      </c>
      <c r="D72" s="48">
        <f>'[39]6. Physical Assets'!E53</f>
        <v>6970.1</v>
      </c>
      <c r="E72" s="48">
        <f>'[39]6. Physical Assets'!F53</f>
        <v>7240.6</v>
      </c>
      <c r="F72" s="48">
        <f>'[39]6. Physical Assets'!G53</f>
        <v>7445.2</v>
      </c>
      <c r="G72" s="48">
        <f>'[39]6. Physical Assets'!H53</f>
        <v>7750.4000000000005</v>
      </c>
      <c r="H72" s="48">
        <f>'[39]6. Physical Assets'!I53</f>
        <v>8049.8</v>
      </c>
      <c r="I72" s="48">
        <f>'[39]6. Physical Assets'!J53</f>
        <v>8346.7000000000007</v>
      </c>
      <c r="J72" s="48">
        <f>'[39]6. Physical Assets'!K53</f>
        <v>8498.0999999999985</v>
      </c>
      <c r="K72" s="48">
        <f>'[40]3.5 Physical assets'!$E$78</f>
        <v>8653.0889999999999</v>
      </c>
      <c r="L72" s="18">
        <f>'[41]3.5 Physical assets'!$E$78</f>
        <v>8852.7000000000007</v>
      </c>
      <c r="M72" s="18">
        <f>'[42]3.5 Physical assets'!$C$79</f>
        <v>8931.3652000000002</v>
      </c>
      <c r="N72" s="2"/>
      <c r="P72" s="24">
        <f t="shared" si="4"/>
        <v>8587.64725</v>
      </c>
    </row>
    <row r="73" spans="1:25">
      <c r="A73" s="17" t="s">
        <v>73</v>
      </c>
      <c r="B73" s="17" t="s">
        <v>100</v>
      </c>
      <c r="C73" s="48">
        <f>'[43]6. Physical Assets'!D53</f>
        <v>3924.4810000000002</v>
      </c>
      <c r="D73" s="48">
        <f>'[43]6. Physical Assets'!E53</f>
        <v>4307.33</v>
      </c>
      <c r="E73" s="48">
        <f>'[43]6. Physical Assets'!F53</f>
        <v>4336.7079999999996</v>
      </c>
      <c r="F73" s="48">
        <f>'[43]6. Physical Assets'!G53</f>
        <v>4973.5190000000002</v>
      </c>
      <c r="G73" s="48">
        <f>'[43]6. Physical Assets'!H53</f>
        <v>4715.4440000000004</v>
      </c>
      <c r="H73" s="48">
        <f>'[43]6. Physical Assets'!I53</f>
        <v>5047.7969999999996</v>
      </c>
      <c r="I73" s="48">
        <f>'[43]6. Physical Assets'!J53</f>
        <v>5031.8050000000003</v>
      </c>
      <c r="J73" s="48">
        <f>'[43]6. Physical Assets'!K53</f>
        <v>5139.9849999999997</v>
      </c>
      <c r="K73" s="48">
        <f>'[44]3.5 Physical assets'!$E$78</f>
        <v>5256.2330000000002</v>
      </c>
      <c r="L73" s="18">
        <f>'[45]3.5 Physical assets'!$E$78</f>
        <v>5253.4840000000004</v>
      </c>
      <c r="M73" s="18">
        <f>'[46]3.5 Physical assets'!$C$79</f>
        <v>5473.1900000000005</v>
      </c>
      <c r="N73" s="2"/>
      <c r="P73" s="24">
        <f t="shared" si="4"/>
        <v>5170.3767500000004</v>
      </c>
    </row>
    <row r="74" spans="1:25">
      <c r="A74" s="17" t="s">
        <v>54</v>
      </c>
      <c r="B74" s="17" t="s">
        <v>100</v>
      </c>
      <c r="C74" s="48">
        <f>'[47]6. Physical Assets'!D57</f>
        <v>1194.895</v>
      </c>
      <c r="D74" s="48">
        <f>'[47]6. Physical Assets'!E57</f>
        <v>2155.2800000000002</v>
      </c>
      <c r="E74" s="48">
        <f>'[47]6. Physical Assets'!F57</f>
        <v>2609.0480000000002</v>
      </c>
      <c r="F74" s="48">
        <f>'[47]6. Physical Assets'!G57</f>
        <v>3132.6779999999999</v>
      </c>
      <c r="G74" s="48">
        <f>'[47]6. Physical Assets'!H57</f>
        <v>3220.1959999999999</v>
      </c>
      <c r="H74" s="48">
        <f>'[47]6. Physical Assets'!I57</f>
        <v>3305.8050000000003</v>
      </c>
      <c r="I74" s="48">
        <f>'[47]6. Physical Assets'!J57</f>
        <v>3414.6370000000002</v>
      </c>
      <c r="J74" s="48">
        <f>'[47]6. Physical Assets'!K57</f>
        <v>3445.922</v>
      </c>
      <c r="K74" s="48">
        <f>'[48]3.5 Physical assets'!$E$78</f>
        <v>3542.5630000000001</v>
      </c>
      <c r="L74" s="18">
        <f>'[49]3.5 Physical assets'!$E$78</f>
        <v>3602.9690000000001</v>
      </c>
      <c r="M74" s="18">
        <f>'[50]3.5 Physical assets'!$C$79</f>
        <v>3627.578</v>
      </c>
      <c r="N74" s="2"/>
      <c r="P74" s="24">
        <f t="shared" si="4"/>
        <v>3501.5227500000001</v>
      </c>
    </row>
    <row r="75" spans="1:25">
      <c r="A75" s="17" t="s">
        <v>9</v>
      </c>
      <c r="B75" s="17" t="s">
        <v>100</v>
      </c>
      <c r="C75" s="48">
        <f>'[51]6. Physical Assets'!D51</f>
        <v>3446</v>
      </c>
      <c r="D75" s="48">
        <f>'[51]6. Physical Assets'!E51</f>
        <v>3543</v>
      </c>
      <c r="E75" s="48">
        <f>'[51]6. Physical Assets'!F51</f>
        <v>3662</v>
      </c>
      <c r="F75" s="48">
        <f>'[51]6. Physical Assets'!G51</f>
        <v>3949</v>
      </c>
      <c r="G75" s="48">
        <f>'[51]6. Physical Assets'!H51</f>
        <v>4150</v>
      </c>
      <c r="H75" s="48">
        <f>'[51]6. Physical Assets'!I51</f>
        <v>4202</v>
      </c>
      <c r="I75" s="48">
        <f>'[51]6. Physical Assets'!J51</f>
        <v>4480</v>
      </c>
      <c r="J75" s="48">
        <f>'[51]6. Physical Assets'!K51</f>
        <v>4619</v>
      </c>
      <c r="K75" s="48">
        <f>'[52]3.5 Physical assets'!$E$78</f>
        <v>4640.1180000000004</v>
      </c>
      <c r="L75" s="18">
        <f>'[53]3.5 Physical assets'!$E$78</f>
        <v>4687.8959999999997</v>
      </c>
      <c r="M75" s="18">
        <f>'[54]3.5 Physical assets'!$C$79</f>
        <v>4820.6580000000004</v>
      </c>
      <c r="N75" s="2"/>
      <c r="P75" s="24">
        <f t="shared" si="4"/>
        <v>4606.7534999999998</v>
      </c>
    </row>
    <row r="77" spans="1:25">
      <c r="A77" s="23" t="s">
        <v>79</v>
      </c>
      <c r="B77" s="83" t="s">
        <v>144</v>
      </c>
      <c r="C77" s="17">
        <v>2006</v>
      </c>
      <c r="D77" s="17">
        <v>2007</v>
      </c>
      <c r="E77" s="17">
        <v>2008</v>
      </c>
      <c r="F77" s="17">
        <v>2009</v>
      </c>
      <c r="G77" s="17">
        <v>2010</v>
      </c>
      <c r="H77" s="17">
        <v>2011</v>
      </c>
      <c r="I77" s="17">
        <v>2012</v>
      </c>
      <c r="J77" s="17">
        <v>2013</v>
      </c>
      <c r="K77" s="32">
        <v>2014</v>
      </c>
      <c r="L77" s="17">
        <v>2015</v>
      </c>
      <c r="M77" s="17">
        <v>2015</v>
      </c>
      <c r="P77" s="2" t="s">
        <v>209</v>
      </c>
      <c r="Q77" t="s">
        <v>127</v>
      </c>
    </row>
    <row r="78" spans="1:25">
      <c r="A78" s="17" t="s">
        <v>1</v>
      </c>
      <c r="B78" s="17" t="s">
        <v>33</v>
      </c>
      <c r="C78" s="18">
        <f>'[3]6. Physical Assets'!D16+'[3]6. Physical Assets'!D25</f>
        <v>4648.9298843987908</v>
      </c>
      <c r="D78" s="18">
        <f>'[3]6. Physical Assets'!E16+'[3]6. Physical Assets'!E25</f>
        <v>4696.5790899999993</v>
      </c>
      <c r="E78" s="18">
        <f>'[3]6. Physical Assets'!F16+'[3]6. Physical Assets'!F25</f>
        <v>4686.5790899999993</v>
      </c>
      <c r="F78" s="18">
        <f>'[3]6. Physical Assets'!G16+'[3]6. Physical Assets'!G25</f>
        <v>4765.5790899999993</v>
      </c>
      <c r="G78" s="18">
        <f>'[3]6. Physical Assets'!H16+'[3]6. Physical Assets'!H25</f>
        <v>4846.5790899999993</v>
      </c>
      <c r="H78" s="18">
        <f>'[3]6. Physical Assets'!I16+'[3]6. Physical Assets'!I25</f>
        <v>4938.5790899999993</v>
      </c>
      <c r="I78" s="18">
        <f>'[3]6. Physical Assets'!J16+'[3]6. Physical Assets'!J25</f>
        <v>5018.0259299999998</v>
      </c>
      <c r="J78" s="18">
        <f>'[3]6. Physical Assets'!K16+'[3]6. Physical Assets'!K25</f>
        <v>5170.8114179603508</v>
      </c>
      <c r="K78" s="45">
        <f t="shared" ref="K78:L78" si="6">K93+K108</f>
        <v>5219.8147170618195</v>
      </c>
      <c r="L78" s="45">
        <f t="shared" si="6"/>
        <v>5272.084028609941</v>
      </c>
      <c r="M78" s="45">
        <f t="shared" ref="M78" si="7">M93+M108</f>
        <v>5311.5686703586798</v>
      </c>
      <c r="N78" s="2"/>
      <c r="P78" s="24">
        <f t="shared" ref="P78:P90" si="8">AVERAGE(I78:L78)</f>
        <v>5170.1840234080282</v>
      </c>
      <c r="Q78" s="24"/>
      <c r="R78" s="24"/>
      <c r="S78" s="24"/>
      <c r="T78" s="24"/>
      <c r="U78" s="24"/>
      <c r="V78" s="24"/>
      <c r="W78" s="24"/>
      <c r="X78" s="24"/>
      <c r="Y78" s="24"/>
    </row>
    <row r="79" spans="1:25">
      <c r="A79" s="17" t="s">
        <v>78</v>
      </c>
      <c r="B79" s="17" t="s">
        <v>33</v>
      </c>
      <c r="C79" s="45">
        <f>C94+C109</f>
        <v>38742.394999999997</v>
      </c>
      <c r="D79" s="45">
        <f t="shared" ref="D79:K79" si="9">D94+D109</f>
        <v>38874.940199999997</v>
      </c>
      <c r="E79" s="45">
        <f t="shared" si="9"/>
        <v>39223.906199999998</v>
      </c>
      <c r="F79" s="45">
        <f t="shared" si="9"/>
        <v>39462.306199999992</v>
      </c>
      <c r="G79" s="45">
        <f t="shared" si="9"/>
        <v>39745.275499999996</v>
      </c>
      <c r="H79" s="45">
        <f t="shared" si="9"/>
        <v>40272.423000000003</v>
      </c>
      <c r="I79" s="45">
        <f t="shared" si="9"/>
        <v>40626.292999999998</v>
      </c>
      <c r="J79" s="45">
        <f t="shared" si="9"/>
        <v>40963.506000000001</v>
      </c>
      <c r="K79" s="45">
        <f t="shared" si="9"/>
        <v>41271.487999999998</v>
      </c>
      <c r="L79" s="45">
        <f>L94+L109</f>
        <v>41370.329480349785</v>
      </c>
      <c r="M79" s="45">
        <f t="shared" ref="M79" si="10">M94+M109</f>
        <v>41453.210735954468</v>
      </c>
      <c r="N79" s="2"/>
      <c r="P79" s="24">
        <f t="shared" si="8"/>
        <v>41057.904120087449</v>
      </c>
    </row>
    <row r="80" spans="1:25">
      <c r="A80" s="17" t="s">
        <v>2</v>
      </c>
      <c r="B80" s="17" t="s">
        <v>33</v>
      </c>
      <c r="C80" s="45">
        <f t="shared" ref="C80:K90" si="11">C95+C110</f>
        <v>3951.6253540420007</v>
      </c>
      <c r="D80" s="45">
        <f t="shared" si="11"/>
        <v>4075.7738425337579</v>
      </c>
      <c r="E80" s="45">
        <f t="shared" si="11"/>
        <v>4036.3645048787043</v>
      </c>
      <c r="F80" s="45">
        <f t="shared" si="11"/>
        <v>4069.7536800785088</v>
      </c>
      <c r="G80" s="45">
        <f t="shared" si="11"/>
        <v>4099.4109698497468</v>
      </c>
      <c r="H80" s="45">
        <f t="shared" si="11"/>
        <v>4284</v>
      </c>
      <c r="I80" s="45">
        <f t="shared" si="11"/>
        <v>4303</v>
      </c>
      <c r="J80" s="45">
        <f t="shared" si="11"/>
        <v>4347</v>
      </c>
      <c r="K80" s="45">
        <f t="shared" ref="K80:L80" si="12">K95+K110</f>
        <v>4481.4749609999999</v>
      </c>
      <c r="L80" s="45">
        <f t="shared" si="12"/>
        <v>4505.4781200000998</v>
      </c>
      <c r="M80" s="45">
        <f t="shared" ref="M80" si="13">M95+M110</f>
        <v>4541.2</v>
      </c>
      <c r="N80" s="2"/>
      <c r="P80" s="24">
        <f t="shared" si="8"/>
        <v>4409.2382702500254</v>
      </c>
    </row>
    <row r="81" spans="1:17">
      <c r="A81" s="17" t="s">
        <v>3</v>
      </c>
      <c r="B81" s="17" t="s">
        <v>33</v>
      </c>
      <c r="C81" s="45">
        <f t="shared" si="11"/>
        <v>32432</v>
      </c>
      <c r="D81" s="45">
        <f t="shared" si="11"/>
        <v>32832</v>
      </c>
      <c r="E81" s="45">
        <f t="shared" si="11"/>
        <v>33299</v>
      </c>
      <c r="F81" s="45">
        <f t="shared" si="11"/>
        <v>33579</v>
      </c>
      <c r="G81" s="45">
        <f t="shared" si="11"/>
        <v>33817</v>
      </c>
      <c r="H81" s="45">
        <f t="shared" si="11"/>
        <v>34172</v>
      </c>
      <c r="I81" s="45">
        <f t="shared" si="11"/>
        <v>34568</v>
      </c>
      <c r="J81" s="45">
        <f t="shared" si="11"/>
        <v>35029</v>
      </c>
      <c r="K81" s="45">
        <f t="shared" ref="K81:L81" si="14">K96+K111</f>
        <v>35491.988999999994</v>
      </c>
      <c r="L81" s="45">
        <f t="shared" si="14"/>
        <v>36005.181619000003</v>
      </c>
      <c r="M81" s="45">
        <f t="shared" ref="M81" si="15">M96+M111</f>
        <v>36467.861000000004</v>
      </c>
      <c r="N81" s="2"/>
      <c r="P81" s="24">
        <f t="shared" si="8"/>
        <v>35273.542654750003</v>
      </c>
    </row>
    <row r="82" spans="1:17">
      <c r="A82" s="17" t="s">
        <v>4</v>
      </c>
      <c r="B82" s="17" t="s">
        <v>33</v>
      </c>
      <c r="C82" s="45">
        <f t="shared" si="11"/>
        <v>46658</v>
      </c>
      <c r="D82" s="45">
        <f t="shared" si="11"/>
        <v>47645</v>
      </c>
      <c r="E82" s="45">
        <f t="shared" si="11"/>
        <v>48486</v>
      </c>
      <c r="F82" s="45">
        <f t="shared" si="11"/>
        <v>49427</v>
      </c>
      <c r="G82" s="45">
        <f t="shared" si="11"/>
        <v>50117</v>
      </c>
      <c r="H82" s="45">
        <f t="shared" si="11"/>
        <v>50771</v>
      </c>
      <c r="I82" s="45">
        <f t="shared" si="11"/>
        <v>51342</v>
      </c>
      <c r="J82" s="45">
        <f t="shared" si="11"/>
        <v>51781</v>
      </c>
      <c r="K82" s="45">
        <f t="shared" ref="K82:L82" si="16">K97+K112</f>
        <v>52097.040999999997</v>
      </c>
      <c r="L82" s="45">
        <f t="shared" si="16"/>
        <v>52564.71</v>
      </c>
      <c r="M82" s="45">
        <f t="shared" ref="M82" si="17">M97+M112</f>
        <v>53201.880000000012</v>
      </c>
      <c r="N82" s="2"/>
      <c r="P82" s="24">
        <f t="shared" si="8"/>
        <v>51946.187749999997</v>
      </c>
    </row>
    <row r="83" spans="1:17">
      <c r="A83" s="17" t="s">
        <v>10</v>
      </c>
      <c r="B83" s="17" t="s">
        <v>33</v>
      </c>
      <c r="C83" s="45">
        <f t="shared" si="11"/>
        <v>148353.43893726001</v>
      </c>
      <c r="D83" s="45">
        <f t="shared" si="11"/>
        <v>150136.49844103999</v>
      </c>
      <c r="E83" s="45">
        <f t="shared" si="11"/>
        <v>150660.03925174003</v>
      </c>
      <c r="F83" s="45">
        <f t="shared" si="11"/>
        <v>151770.05533772003</v>
      </c>
      <c r="G83" s="45">
        <f t="shared" si="11"/>
        <v>152579.65545786</v>
      </c>
      <c r="H83" s="45">
        <f t="shared" si="11"/>
        <v>152729.53246680001</v>
      </c>
      <c r="I83" s="45">
        <f t="shared" si="11"/>
        <v>153747.85140545998</v>
      </c>
      <c r="J83" s="45">
        <f t="shared" si="11"/>
        <v>150472.37732780748</v>
      </c>
      <c r="K83" s="45">
        <f t="shared" ref="K83:L83" si="18">K98+K113</f>
        <v>151121.81083481963</v>
      </c>
      <c r="L83" s="45">
        <f t="shared" si="18"/>
        <v>152459.50017616479</v>
      </c>
      <c r="M83" s="45">
        <f t="shared" ref="M83" si="19">M98+M113</f>
        <v>152254.63888915259</v>
      </c>
      <c r="N83" s="2"/>
      <c r="P83" s="24">
        <f t="shared" si="8"/>
        <v>151950.38493606297</v>
      </c>
    </row>
    <row r="84" spans="1:17">
      <c r="A84" s="17" t="s">
        <v>5</v>
      </c>
      <c r="B84" s="17" t="s">
        <v>33</v>
      </c>
      <c r="C84" s="45">
        <f t="shared" si="11"/>
        <v>199551</v>
      </c>
      <c r="D84" s="45">
        <f t="shared" si="11"/>
        <v>189452</v>
      </c>
      <c r="E84" s="45">
        <f t="shared" si="11"/>
        <v>185829</v>
      </c>
      <c r="F84" s="45">
        <f t="shared" si="11"/>
        <v>187750</v>
      </c>
      <c r="G84" s="45">
        <f t="shared" si="11"/>
        <v>188634</v>
      </c>
      <c r="H84" s="45">
        <f t="shared" si="11"/>
        <v>190592</v>
      </c>
      <c r="I84" s="45">
        <f t="shared" si="11"/>
        <v>190819</v>
      </c>
      <c r="J84" s="45">
        <f t="shared" si="11"/>
        <v>191107</v>
      </c>
      <c r="K84" s="45">
        <f t="shared" ref="K84:L85" si="20">K99+K114</f>
        <v>191156.07200000001</v>
      </c>
      <c r="L84" s="45">
        <f t="shared" si="20"/>
        <v>191475.29249708584</v>
      </c>
      <c r="M84" s="45">
        <f t="shared" ref="M84" si="21">M99+M114</f>
        <v>191945.32419558271</v>
      </c>
      <c r="N84" s="2"/>
      <c r="P84" s="24">
        <f t="shared" si="8"/>
        <v>191139.34112427148</v>
      </c>
    </row>
    <row r="85" spans="1:17">
      <c r="A85" s="17" t="s">
        <v>6</v>
      </c>
      <c r="B85" s="17" t="s">
        <v>33</v>
      </c>
      <c r="C85" s="45">
        <f t="shared" si="11"/>
        <v>5718.7325857356282</v>
      </c>
      <c r="D85" s="45">
        <f t="shared" si="11"/>
        <v>5769.8560802295833</v>
      </c>
      <c r="E85" s="45">
        <f t="shared" si="11"/>
        <v>5868.0882146803324</v>
      </c>
      <c r="F85" s="45">
        <f t="shared" si="11"/>
        <v>5926.7301500000012</v>
      </c>
      <c r="G85" s="45">
        <f t="shared" si="11"/>
        <v>5970.9719999999998</v>
      </c>
      <c r="H85" s="45">
        <f t="shared" si="11"/>
        <v>6041.5939481495589</v>
      </c>
      <c r="I85" s="45">
        <f t="shared" si="11"/>
        <v>6102.4391066561348</v>
      </c>
      <c r="J85" s="45">
        <f t="shared" si="11"/>
        <v>6134.8447602493761</v>
      </c>
      <c r="K85" s="45">
        <f t="shared" ref="K85" si="22">K100+K115</f>
        <v>6160.5729462129366</v>
      </c>
      <c r="L85" s="45">
        <f t="shared" si="20"/>
        <v>6246.3146799999995</v>
      </c>
      <c r="M85" s="45">
        <f t="shared" ref="M85" si="23">M100+M115</f>
        <v>6300.9202911359735</v>
      </c>
      <c r="N85" s="2"/>
      <c r="P85" s="24">
        <f t="shared" si="8"/>
        <v>6161.0428732796117</v>
      </c>
    </row>
    <row r="86" spans="1:17">
      <c r="A86" s="17" t="s">
        <v>7</v>
      </c>
      <c r="B86" s="17" t="s">
        <v>33</v>
      </c>
      <c r="C86" s="45">
        <f t="shared" si="11"/>
        <v>71676.861903062207</v>
      </c>
      <c r="D86" s="45">
        <f t="shared" si="11"/>
        <v>71930.5</v>
      </c>
      <c r="E86" s="45">
        <f t="shared" si="11"/>
        <v>72120.5</v>
      </c>
      <c r="F86" s="45">
        <f t="shared" si="11"/>
        <v>72939.230183327629</v>
      </c>
      <c r="G86" s="45">
        <f t="shared" si="11"/>
        <v>73498.507812622323</v>
      </c>
      <c r="H86" s="45">
        <f t="shared" si="11"/>
        <v>73133</v>
      </c>
      <c r="I86" s="45">
        <f t="shared" si="11"/>
        <v>73597</v>
      </c>
      <c r="J86" s="45">
        <f t="shared" si="11"/>
        <v>73889</v>
      </c>
      <c r="K86" s="45">
        <f t="shared" ref="K86:L86" si="24">K101+K116</f>
        <v>74181.439138999995</v>
      </c>
      <c r="L86" s="45">
        <f t="shared" si="24"/>
        <v>74451.769539998146</v>
      </c>
      <c r="M86" s="45">
        <f t="shared" ref="M86" si="25">M101+M116</f>
        <v>74675.100000000006</v>
      </c>
      <c r="N86" s="2"/>
      <c r="P86" s="24">
        <f t="shared" si="8"/>
        <v>74029.802169749542</v>
      </c>
    </row>
    <row r="87" spans="1:17">
      <c r="A87" s="17" t="s">
        <v>8</v>
      </c>
      <c r="B87" s="17" t="s">
        <v>33</v>
      </c>
      <c r="C87" s="45">
        <f t="shared" si="11"/>
        <v>84830.405693445078</v>
      </c>
      <c r="D87" s="45">
        <f t="shared" si="11"/>
        <v>85326.120621562557</v>
      </c>
      <c r="E87" s="45">
        <f t="shared" si="11"/>
        <v>85821.835549680036</v>
      </c>
      <c r="F87" s="45">
        <f t="shared" si="11"/>
        <v>86624.718035020574</v>
      </c>
      <c r="G87" s="45">
        <f t="shared" si="11"/>
        <v>87208.550876580557</v>
      </c>
      <c r="H87" s="45">
        <f t="shared" si="11"/>
        <v>87193.681406010772</v>
      </c>
      <c r="I87" s="45">
        <f t="shared" si="11"/>
        <v>87647.697035597783</v>
      </c>
      <c r="J87" s="45">
        <f t="shared" si="11"/>
        <v>87882.26999999999</v>
      </c>
      <c r="K87" s="45">
        <f t="shared" ref="K87:L87" si="26">K102+K117</f>
        <v>88082.642999999996</v>
      </c>
      <c r="L87" s="45">
        <f t="shared" si="26"/>
        <v>88201</v>
      </c>
      <c r="M87" s="45">
        <f t="shared" ref="M87" si="27">M102+M117</f>
        <v>88808</v>
      </c>
      <c r="N87" s="2"/>
      <c r="P87" s="24">
        <f t="shared" si="8"/>
        <v>87953.402508899439</v>
      </c>
    </row>
    <row r="88" spans="1:17">
      <c r="A88" s="17" t="s">
        <v>73</v>
      </c>
      <c r="B88" s="17" t="s">
        <v>33</v>
      </c>
      <c r="C88" s="45">
        <f t="shared" si="11"/>
        <v>41507.072</v>
      </c>
      <c r="D88" s="45">
        <f t="shared" si="11"/>
        <v>41835.892999999996</v>
      </c>
      <c r="E88" s="45">
        <f t="shared" si="11"/>
        <v>42110.843000000001</v>
      </c>
      <c r="F88" s="45">
        <f t="shared" si="11"/>
        <v>42711.531000000003</v>
      </c>
      <c r="G88" s="45">
        <f t="shared" si="11"/>
        <v>42968.714999999997</v>
      </c>
      <c r="H88" s="45">
        <f t="shared" si="11"/>
        <v>43213.931000000004</v>
      </c>
      <c r="I88" s="45">
        <f t="shared" si="11"/>
        <v>43702.13</v>
      </c>
      <c r="J88" s="45">
        <f t="shared" si="11"/>
        <v>43821.926999999996</v>
      </c>
      <c r="K88" s="45">
        <f t="shared" ref="K88:L88" si="28">K103+K118</f>
        <v>44255.045294220996</v>
      </c>
      <c r="L88" s="45">
        <f t="shared" si="28"/>
        <v>44349.203981000675</v>
      </c>
      <c r="M88" s="45">
        <f t="shared" ref="M88" si="29">M103+M118</f>
        <v>44703.306056999951</v>
      </c>
      <c r="N88" s="2"/>
      <c r="P88" s="24">
        <f t="shared" si="8"/>
        <v>44032.076568805416</v>
      </c>
    </row>
    <row r="89" spans="1:17">
      <c r="A89" s="17" t="s">
        <v>54</v>
      </c>
      <c r="B89" s="17" t="s">
        <v>33</v>
      </c>
      <c r="C89" s="45">
        <f t="shared" si="11"/>
        <v>21209.899999999994</v>
      </c>
      <c r="D89" s="45">
        <f t="shared" si="11"/>
        <v>21210.099999999995</v>
      </c>
      <c r="E89" s="45">
        <f t="shared" si="11"/>
        <v>21210.099999999995</v>
      </c>
      <c r="F89" s="45">
        <f t="shared" si="11"/>
        <v>21267.799999999996</v>
      </c>
      <c r="G89" s="45">
        <f t="shared" si="11"/>
        <v>21631.699999999997</v>
      </c>
      <c r="H89" s="45">
        <f t="shared" si="11"/>
        <v>22027.1</v>
      </c>
      <c r="I89" s="45">
        <f t="shared" si="11"/>
        <v>22222.099999999995</v>
      </c>
      <c r="J89" s="45">
        <f t="shared" si="11"/>
        <v>22335.899999999998</v>
      </c>
      <c r="K89" s="45">
        <f t="shared" ref="K89:L89" si="30">K104+K119</f>
        <v>22495.899999999998</v>
      </c>
      <c r="L89" s="45">
        <f t="shared" si="30"/>
        <v>22629.245000000003</v>
      </c>
      <c r="M89" s="45">
        <f t="shared" ref="M89" si="31">M104+M119</f>
        <v>22681.083000000002</v>
      </c>
      <c r="N89" s="2"/>
      <c r="P89" s="24">
        <f t="shared" si="8"/>
        <v>22420.786249999997</v>
      </c>
    </row>
    <row r="90" spans="1:17">
      <c r="A90" s="17" t="s">
        <v>9</v>
      </c>
      <c r="B90" s="17" t="s">
        <v>33</v>
      </c>
      <c r="C90" s="45">
        <f t="shared" si="11"/>
        <v>12384</v>
      </c>
      <c r="D90" s="45">
        <f t="shared" si="11"/>
        <v>12476.199999999999</v>
      </c>
      <c r="E90" s="45">
        <f t="shared" si="11"/>
        <v>12582.800000000001</v>
      </c>
      <c r="F90" s="45">
        <f t="shared" si="11"/>
        <v>12537.5</v>
      </c>
      <c r="G90" s="45">
        <f t="shared" si="11"/>
        <v>12644.400000000001</v>
      </c>
      <c r="H90" s="45">
        <f t="shared" si="11"/>
        <v>12725.4</v>
      </c>
      <c r="I90" s="45">
        <f t="shared" si="11"/>
        <v>12817.6</v>
      </c>
      <c r="J90" s="45">
        <f t="shared" si="11"/>
        <v>12834.7</v>
      </c>
      <c r="K90" s="45">
        <f t="shared" si="11"/>
        <v>12823.415000000001</v>
      </c>
      <c r="L90" s="45">
        <f t="shared" ref="L90:M90" si="32">L105+L120</f>
        <v>12873.221765499999</v>
      </c>
      <c r="M90" s="45">
        <f t="shared" si="32"/>
        <v>12875.46695939</v>
      </c>
      <c r="N90" s="2"/>
      <c r="P90" s="24">
        <f t="shared" si="8"/>
        <v>12837.234191375001</v>
      </c>
    </row>
    <row r="92" spans="1:17">
      <c r="A92" s="23" t="s">
        <v>75</v>
      </c>
      <c r="B92" s="83" t="s">
        <v>143</v>
      </c>
      <c r="C92" s="17">
        <v>2006</v>
      </c>
      <c r="D92" s="17">
        <v>2007</v>
      </c>
      <c r="E92" s="17">
        <v>2008</v>
      </c>
      <c r="F92" s="17">
        <v>2009</v>
      </c>
      <c r="G92" s="17">
        <v>2010</v>
      </c>
      <c r="H92" s="17">
        <v>2011</v>
      </c>
      <c r="I92" s="17">
        <v>2012</v>
      </c>
      <c r="J92" s="17">
        <v>2013</v>
      </c>
      <c r="K92" s="17">
        <v>2014</v>
      </c>
      <c r="L92" s="17">
        <v>2015</v>
      </c>
      <c r="M92" s="17">
        <v>2016</v>
      </c>
      <c r="P92" s="2" t="s">
        <v>209</v>
      </c>
      <c r="Q92" t="s">
        <v>128</v>
      </c>
    </row>
    <row r="93" spans="1:17">
      <c r="A93" s="17" t="s">
        <v>1</v>
      </c>
      <c r="B93" s="17" t="s">
        <v>33</v>
      </c>
      <c r="C93" s="18">
        <f>'[3]6. Physical Assets'!D16</f>
        <v>2422.2457566666694</v>
      </c>
      <c r="D93" s="18">
        <f>'[3]6. Physical Assets'!E16</f>
        <v>2413.5790899999997</v>
      </c>
      <c r="E93" s="18">
        <f>'[3]6. Physical Assets'!F16</f>
        <v>2403.5790899999997</v>
      </c>
      <c r="F93" s="18">
        <f>'[3]6. Physical Assets'!G16</f>
        <v>2395.5790899999997</v>
      </c>
      <c r="G93" s="18">
        <f>'[3]6. Physical Assets'!H16</f>
        <v>2390.5790899999997</v>
      </c>
      <c r="H93" s="18">
        <f>'[3]6. Physical Assets'!I16</f>
        <v>2403.5790899999997</v>
      </c>
      <c r="I93" s="18">
        <f>'[3]6. Physical Assets'!J16</f>
        <v>2404.0259299999998</v>
      </c>
      <c r="J93" s="18">
        <f>'[3]6. Physical Assets'!K16</f>
        <v>2395.0259299999998</v>
      </c>
      <c r="K93" s="48">
        <f>'[4]3.5 Physical assets'!$E$28</f>
        <v>2365.2939799999999</v>
      </c>
      <c r="L93" s="18">
        <f>'[5]3.5 Physical assets'!$E$28</f>
        <v>2368.4579799999997</v>
      </c>
      <c r="M93" s="18">
        <f>'[6]3.5 Physical assets'!$C$27</f>
        <v>2365.1569898784319</v>
      </c>
      <c r="N93" s="2"/>
      <c r="P93" s="24">
        <f t="shared" ref="P93:P105" si="33">AVERAGE(I93:L93)</f>
        <v>2383.2009549999998</v>
      </c>
    </row>
    <row r="94" spans="1:17">
      <c r="A94" s="17" t="s">
        <v>78</v>
      </c>
      <c r="B94" s="17" t="s">
        <v>33</v>
      </c>
      <c r="C94" s="45">
        <f>'[7]6. Physical Assets'!D17</f>
        <v>26108.799999999999</v>
      </c>
      <c r="D94" s="45">
        <f>'[7]6. Physical Assets'!E17</f>
        <v>25884.499999999996</v>
      </c>
      <c r="E94" s="45">
        <f>'[7]6. Physical Assets'!F17</f>
        <v>25986.1</v>
      </c>
      <c r="F94" s="45">
        <f>'[7]6. Physical Assets'!G17</f>
        <v>25933.999999999996</v>
      </c>
      <c r="G94" s="45">
        <f>'[7]6. Physical Assets'!H17</f>
        <v>25966.699999999997</v>
      </c>
      <c r="H94" s="45">
        <f>'[7]6. Physical Assets'!I17</f>
        <v>26138.7</v>
      </c>
      <c r="I94" s="45">
        <f>'[7]6. Physical Assets'!J17</f>
        <v>26084.699999999997</v>
      </c>
      <c r="J94" s="45">
        <f>'[7]6. Physical Assets'!K17</f>
        <v>26071.899999999998</v>
      </c>
      <c r="K94" s="48">
        <f>'[8]3.5 Physical assets'!$E$28</f>
        <v>26044.1</v>
      </c>
      <c r="L94" s="18">
        <f>'[9]3.5 Physical assets'!$E$28</f>
        <v>26005.772004570954</v>
      </c>
      <c r="M94" s="18">
        <f>'[10]3.5 Physical assets'!$C$27</f>
        <v>25933.963453265827</v>
      </c>
      <c r="N94" s="2"/>
      <c r="P94" s="24">
        <f t="shared" si="33"/>
        <v>26051.618001142735</v>
      </c>
    </row>
    <row r="95" spans="1:17">
      <c r="A95" s="17" t="s">
        <v>2</v>
      </c>
      <c r="B95" s="17" t="s">
        <v>33</v>
      </c>
      <c r="C95" s="45">
        <f>'[11]6. Physical Assets'!D17</f>
        <v>2260.873677399999</v>
      </c>
      <c r="D95" s="45">
        <f>'[11]6. Physical Assets'!E17</f>
        <v>2292.1840148999991</v>
      </c>
      <c r="E95" s="45">
        <f>'[11]6. Physical Assets'!F17</f>
        <v>2193.0273165597982</v>
      </c>
      <c r="F95" s="45">
        <f>'[11]6. Physical Assets'!G17</f>
        <v>2192.0000000000005</v>
      </c>
      <c r="G95" s="45">
        <f>'[11]6. Physical Assets'!H17</f>
        <v>2185.2934951813377</v>
      </c>
      <c r="H95" s="45">
        <f>'[11]6. Physical Assets'!I17</f>
        <v>2223</v>
      </c>
      <c r="I95" s="45">
        <f>'[11]6. Physical Assets'!J17</f>
        <v>2230</v>
      </c>
      <c r="J95" s="45">
        <f>'[11]6. Physical Assets'!K17</f>
        <v>2233</v>
      </c>
      <c r="K95" s="48">
        <f>'[12]3.5 Physical assets'!$E$28</f>
        <v>2270.3383899999999</v>
      </c>
      <c r="L95" s="18">
        <f>'[13]3.5 Physical assets'!$E$28</f>
        <v>2272.2336600000899</v>
      </c>
      <c r="M95" s="18">
        <f>'[14]3.5 Physical assets'!$C$27</f>
        <v>2274.4</v>
      </c>
      <c r="N95" s="2"/>
      <c r="P95" s="24">
        <f t="shared" si="33"/>
        <v>2251.3930125000225</v>
      </c>
    </row>
    <row r="96" spans="1:17">
      <c r="A96" s="17" t="s">
        <v>3</v>
      </c>
      <c r="B96" s="17" t="s">
        <v>33</v>
      </c>
      <c r="C96" s="45">
        <f>'[15]6. Physical Assets'!D17</f>
        <v>23387</v>
      </c>
      <c r="D96" s="45">
        <f>'[15]6. Physical Assets'!E17</f>
        <v>23409</v>
      </c>
      <c r="E96" s="45">
        <f>'[15]6. Physical Assets'!F17</f>
        <v>23440</v>
      </c>
      <c r="F96" s="45">
        <f>'[15]6. Physical Assets'!G17</f>
        <v>23443</v>
      </c>
      <c r="G96" s="45">
        <f>'[15]6. Physical Assets'!H17</f>
        <v>23431</v>
      </c>
      <c r="H96" s="45">
        <f>'[15]6. Physical Assets'!I17</f>
        <v>23411</v>
      </c>
      <c r="I96" s="45">
        <f>'[15]6. Physical Assets'!J17</f>
        <v>23417</v>
      </c>
      <c r="J96" s="45">
        <f>'[15]6. Physical Assets'!K17</f>
        <v>23412</v>
      </c>
      <c r="K96" s="48">
        <f>'[16]3.5 Physical assets'!$E$28</f>
        <v>23387.318999999996</v>
      </c>
      <c r="L96" s="18">
        <f>'[17]3.5 Physical assets'!$E$28</f>
        <v>23369.325000000001</v>
      </c>
      <c r="M96" s="18">
        <f>'[18]3.5 Physical assets'!$C$27</f>
        <v>23294.759000000002</v>
      </c>
      <c r="N96" s="2"/>
      <c r="P96" s="24">
        <f t="shared" si="33"/>
        <v>23396.410999999996</v>
      </c>
    </row>
    <row r="97" spans="1:20">
      <c r="A97" s="17" t="s">
        <v>4</v>
      </c>
      <c r="B97" s="17" t="s">
        <v>33</v>
      </c>
      <c r="C97" s="45">
        <f>'[19]6. Physical Assets'!D16</f>
        <v>34457</v>
      </c>
      <c r="D97" s="45">
        <f>'[19]6. Physical Assets'!E16</f>
        <v>34623</v>
      </c>
      <c r="E97" s="45">
        <f>'[19]6. Physical Assets'!F16</f>
        <v>34659</v>
      </c>
      <c r="F97" s="45">
        <f>'[19]6. Physical Assets'!G16</f>
        <v>34731</v>
      </c>
      <c r="G97" s="45">
        <f>'[19]6. Physical Assets'!H16</f>
        <v>34780</v>
      </c>
      <c r="H97" s="45">
        <f>'[19]6. Physical Assets'!I16</f>
        <v>34900</v>
      </c>
      <c r="I97" s="45">
        <f>'[19]6. Physical Assets'!J16</f>
        <v>34992</v>
      </c>
      <c r="J97" s="45">
        <f>'[19]6. Physical Assets'!K16</f>
        <v>35033</v>
      </c>
      <c r="K97" s="48">
        <f>'[20]3.5 Physical assets'!$E$28</f>
        <v>35102.33</v>
      </c>
      <c r="L97" s="18">
        <f>'[21]3.5 Physical assets'!$E$28</f>
        <v>35122.369999999995</v>
      </c>
      <c r="M97" s="18">
        <f>'[22]3.5 Physical assets'!$C$27</f>
        <v>35129.320000000007</v>
      </c>
      <c r="N97" s="2"/>
      <c r="P97" s="24">
        <f t="shared" si="33"/>
        <v>35062.425000000003</v>
      </c>
      <c r="S97" s="2"/>
      <c r="T97" s="2"/>
    </row>
    <row r="98" spans="1:20">
      <c r="A98" s="17" t="s">
        <v>10</v>
      </c>
      <c r="B98" s="17" t="s">
        <v>33</v>
      </c>
      <c r="C98" s="48">
        <f>'[23]6. Physical Assets'!D19</f>
        <v>144395.92893726</v>
      </c>
      <c r="D98" s="48">
        <f>'[23]6. Physical Assets'!E19</f>
        <v>145654.05244104</v>
      </c>
      <c r="E98" s="48">
        <f>'[23]6. Physical Assets'!F19</f>
        <v>145367.16225174002</v>
      </c>
      <c r="F98" s="48">
        <f>'[23]6. Physical Assets'!G19</f>
        <v>145424.03933772002</v>
      </c>
      <c r="G98" s="48">
        <f>'[23]6. Physical Assets'!H19</f>
        <v>145684.85145786</v>
      </c>
      <c r="H98" s="48">
        <f>'[23]6. Physical Assets'!I19</f>
        <v>145390.19746680002</v>
      </c>
      <c r="I98" s="48">
        <f>'[23]6. Physical Assets'!J19</f>
        <v>146022.96540545998</v>
      </c>
      <c r="J98" s="48">
        <f>'[23]6. Physical Assets'!K19</f>
        <v>142293.05232780747</v>
      </c>
      <c r="K98" s="48">
        <f>'[24]3.5 Physical assets'!$E$28</f>
        <v>142618.25783042065</v>
      </c>
      <c r="L98" s="18">
        <f>'[25]3.5 Physical assets'!$E$28</f>
        <v>143546.25526403662</v>
      </c>
      <c r="M98" s="18">
        <f>'[26]3.5 Physical assets'!$C$27</f>
        <v>143113.90362381283</v>
      </c>
      <c r="N98" s="2"/>
      <c r="P98" s="24">
        <f t="shared" si="33"/>
        <v>143620.13270693118</v>
      </c>
    </row>
    <row r="99" spans="1:20">
      <c r="A99" s="17" t="s">
        <v>5</v>
      </c>
      <c r="B99" s="17" t="s">
        <v>33</v>
      </c>
      <c r="C99" s="48">
        <f>'[27]6. Physical Assets'!D20</f>
        <v>194385</v>
      </c>
      <c r="D99" s="48">
        <f>'[27]6. Physical Assets'!E20</f>
        <v>183413</v>
      </c>
      <c r="E99" s="48">
        <f>'[27]6. Physical Assets'!F20</f>
        <v>179875</v>
      </c>
      <c r="F99" s="48">
        <f>'[27]6. Physical Assets'!G20</f>
        <v>181761</v>
      </c>
      <c r="G99" s="48">
        <f>'[27]6. Physical Assets'!H20</f>
        <v>182431</v>
      </c>
      <c r="H99" s="48">
        <f>'[27]6. Physical Assets'!I20</f>
        <v>183526</v>
      </c>
      <c r="I99" s="48">
        <f>'[27]6. Physical Assets'!J20</f>
        <v>183454</v>
      </c>
      <c r="J99" s="48">
        <f>'[27]6. Physical Assets'!K20</f>
        <v>183500</v>
      </c>
      <c r="K99" s="48">
        <f>'[28]3.5 Physical assets'!$E$28</f>
        <v>183490.17200000002</v>
      </c>
      <c r="L99" s="18">
        <f>'[29]3.5 Physical assets'!$E$28</f>
        <v>183529.79100000003</v>
      </c>
      <c r="M99" s="18">
        <f>'[30]3.5 Physical assets'!$C$27</f>
        <v>183611.89977583548</v>
      </c>
      <c r="N99" s="2"/>
      <c r="P99" s="24">
        <f t="shared" si="33"/>
        <v>183493.49075</v>
      </c>
    </row>
    <row r="100" spans="1:20">
      <c r="A100" s="17" t="s">
        <v>6</v>
      </c>
      <c r="B100" s="17" t="s">
        <v>33</v>
      </c>
      <c r="C100" s="48">
        <f>'[31]6. Physical Assets'!D17</f>
        <v>4417.8421802475241</v>
      </c>
      <c r="D100" s="48">
        <f>'[31]6. Physical Assets'!E17</f>
        <v>4425.5257642176875</v>
      </c>
      <c r="E100" s="48">
        <f>'[31]6. Physical Assets'!F17</f>
        <v>4452.411925837373</v>
      </c>
      <c r="F100" s="48">
        <f>'[31]6. Physical Assets'!G17</f>
        <v>4463.4639300000008</v>
      </c>
      <c r="G100" s="48">
        <f>'[31]6. Physical Assets'!H17</f>
        <v>4463.8128199999992</v>
      </c>
      <c r="H100" s="48">
        <f>'[31]6. Physical Assets'!I17</f>
        <v>4475.9594627931192</v>
      </c>
      <c r="I100" s="48">
        <f>'[31]6. Physical Assets'!J17</f>
        <v>4472.4291066561345</v>
      </c>
      <c r="J100" s="48">
        <f>'[31]6. Physical Assets'!K17</f>
        <v>4455.5649999999996</v>
      </c>
      <c r="K100" s="48">
        <f>'[32]3.5 Physical assets'!$E$28</f>
        <v>4435.5072043394539</v>
      </c>
      <c r="L100" s="18">
        <f>'[33]3.5 Physical assets'!$E$28</f>
        <v>4450.8945199999998</v>
      </c>
      <c r="M100" s="18">
        <f>'[34]3.5 Physical assets'!$C$27</f>
        <v>4449.6114974044585</v>
      </c>
      <c r="N100" s="2"/>
      <c r="P100" s="24">
        <f t="shared" si="33"/>
        <v>4453.5989577488963</v>
      </c>
    </row>
    <row r="101" spans="1:20">
      <c r="A101" s="17" t="s">
        <v>7</v>
      </c>
      <c r="B101" s="17" t="s">
        <v>33</v>
      </c>
      <c r="C101" s="48">
        <f>'[35]6. Physical Assets'!D17</f>
        <v>68353.062800743457</v>
      </c>
      <c r="D101" s="48">
        <f>'[35]6. Physical Assets'!E17</f>
        <v>68418</v>
      </c>
      <c r="E101" s="48">
        <f>'[35]6. Physical Assets'!F17</f>
        <v>68579</v>
      </c>
      <c r="F101" s="48">
        <f>'[35]6. Physical Assets'!G17</f>
        <v>68354.524061887831</v>
      </c>
      <c r="G101" s="48">
        <f>'[35]6. Physical Assets'!H17</f>
        <v>68369.845763600315</v>
      </c>
      <c r="H101" s="48">
        <f>'[35]6. Physical Assets'!I17</f>
        <v>68445</v>
      </c>
      <c r="I101" s="48">
        <f>'[35]6. Physical Assets'!J17</f>
        <v>68767</v>
      </c>
      <c r="J101" s="48">
        <f>'[35]6. Physical Assets'!K17</f>
        <v>68824</v>
      </c>
      <c r="K101" s="48">
        <f>'[36]3.5 Physical assets'!$E$28</f>
        <v>68933.032789999997</v>
      </c>
      <c r="L101" s="18">
        <f>'[37]3.5 Physical assets'!$E$28</f>
        <v>68875.0469999981</v>
      </c>
      <c r="M101" s="18">
        <f>'[38]3.5 Physical assets'!$C$27</f>
        <v>68814.3</v>
      </c>
      <c r="N101" s="2"/>
      <c r="P101" s="24">
        <f t="shared" si="33"/>
        <v>68849.769947499532</v>
      </c>
    </row>
    <row r="102" spans="1:20">
      <c r="A102" s="17" t="s">
        <v>8</v>
      </c>
      <c r="B102" s="17" t="s">
        <v>33</v>
      </c>
      <c r="C102" s="48">
        <f>'[39]6. Physical Assets'!D17</f>
        <v>71068.558037262672</v>
      </c>
      <c r="D102" s="48">
        <f>'[39]6. Physical Assets'!E17</f>
        <v>71025.263198894114</v>
      </c>
      <c r="E102" s="48">
        <f>'[39]6. Physical Assets'!F17</f>
        <v>70981.968360525556</v>
      </c>
      <c r="F102" s="48">
        <f>'[39]6. Physical Assets'!G17</f>
        <v>71135.774468564356</v>
      </c>
      <c r="G102" s="48">
        <f>'[39]6. Physical Assets'!H17</f>
        <v>71323.338505389343</v>
      </c>
      <c r="H102" s="48">
        <f>'[39]6. Physical Assets'!I17</f>
        <v>71065.690537877366</v>
      </c>
      <c r="I102" s="48">
        <f>'[39]6. Physical Assets'!J17</f>
        <v>71147.812197102365</v>
      </c>
      <c r="J102" s="48">
        <f>'[39]6. Physical Assets'!K17</f>
        <v>71152.819999999992</v>
      </c>
      <c r="K102" s="48">
        <f>'[40]3.5 Physical assets'!$E$28</f>
        <v>71159.671999999991</v>
      </c>
      <c r="L102" s="18">
        <f>'[41]3.5 Physical assets'!$E$28</f>
        <v>71230</v>
      </c>
      <c r="M102" s="18">
        <f>'[42]3.5 Physical assets'!$C$27</f>
        <v>71322</v>
      </c>
      <c r="N102" s="2"/>
      <c r="P102" s="24">
        <f t="shared" si="33"/>
        <v>71172.57604927558</v>
      </c>
    </row>
    <row r="103" spans="1:20">
      <c r="A103" s="17" t="s">
        <v>73</v>
      </c>
      <c r="B103" s="17" t="s">
        <v>33</v>
      </c>
      <c r="C103" s="48">
        <f>'[43]6. Physical Assets'!D17</f>
        <v>37642.311999999998</v>
      </c>
      <c r="D103" s="48">
        <f>'[43]6. Physical Assets'!E17</f>
        <v>37724.491999999998</v>
      </c>
      <c r="E103" s="48">
        <f>'[43]6. Physical Assets'!F17</f>
        <v>37820.120999999999</v>
      </c>
      <c r="F103" s="48">
        <f>'[43]6. Physical Assets'!G17</f>
        <v>38099.014999999999</v>
      </c>
      <c r="G103" s="48">
        <f>'[43]6. Physical Assets'!H17</f>
        <v>38175.800999999999</v>
      </c>
      <c r="H103" s="48">
        <f>'[43]6. Physical Assets'!I17</f>
        <v>38144.855000000003</v>
      </c>
      <c r="I103" s="48">
        <f>'[43]6. Physical Assets'!J17</f>
        <v>38379.735999999997</v>
      </c>
      <c r="J103" s="48">
        <f>'[43]6. Physical Assets'!K17</f>
        <v>38319.654999999999</v>
      </c>
      <c r="K103" s="48">
        <f>'[44]3.5 Physical assets'!$E$28</f>
        <v>38526.894499999995</v>
      </c>
      <c r="L103" s="18">
        <f>'[45]3.5 Physical assets'!$E$28</f>
        <v>38383.26915600057</v>
      </c>
      <c r="M103" s="18">
        <f>'[46]3.5 Physical assets'!$C$27</f>
        <v>38436.254718999997</v>
      </c>
      <c r="N103" s="2"/>
      <c r="P103" s="24">
        <f t="shared" si="33"/>
        <v>38402.388664000144</v>
      </c>
    </row>
    <row r="104" spans="1:20">
      <c r="A104" s="17" t="s">
        <v>54</v>
      </c>
      <c r="B104" s="17" t="s">
        <v>33</v>
      </c>
      <c r="C104" s="48">
        <f>'[47]6. Physical Assets'!D19</f>
        <v>19307.599999999995</v>
      </c>
      <c r="D104" s="48">
        <f>'[47]6. Physical Assets'!E19</f>
        <v>19307.599999999995</v>
      </c>
      <c r="E104" s="48">
        <f>'[47]6. Physical Assets'!F19</f>
        <v>19307.599999999995</v>
      </c>
      <c r="F104" s="48">
        <f>'[47]6. Physical Assets'!G19</f>
        <v>19337.199999999997</v>
      </c>
      <c r="G104" s="48">
        <f>'[47]6. Physical Assets'!H19</f>
        <v>19536.499999999996</v>
      </c>
      <c r="H104" s="48">
        <f>'[47]6. Physical Assets'!I19</f>
        <v>19752.199999999997</v>
      </c>
      <c r="I104" s="48">
        <f>'[47]6. Physical Assets'!J19</f>
        <v>19882.799999999996</v>
      </c>
      <c r="J104" s="48">
        <f>'[47]6. Physical Assets'!K19</f>
        <v>19962.199999999997</v>
      </c>
      <c r="K104" s="48">
        <f>'[48]3.5 Physical assets'!$E$28</f>
        <v>20063.099999999999</v>
      </c>
      <c r="L104" s="18">
        <f>'[49]3.5 Physical assets'!$E$28</f>
        <v>20163.956000000002</v>
      </c>
      <c r="M104" s="18">
        <f>'[50]3.5 Physical assets'!$C$27</f>
        <v>20178.814000000002</v>
      </c>
      <c r="N104" s="2"/>
      <c r="P104" s="24">
        <f t="shared" si="33"/>
        <v>20018.013999999999</v>
      </c>
    </row>
    <row r="105" spans="1:20">
      <c r="A105" s="17" t="s">
        <v>9</v>
      </c>
      <c r="B105" s="17" t="s">
        <v>33</v>
      </c>
      <c r="C105" s="48">
        <f>'[51]6. Physical Assets'!D17</f>
        <v>10108</v>
      </c>
      <c r="D105" s="48">
        <f>'[51]6. Physical Assets'!E17</f>
        <v>10157.799999999999</v>
      </c>
      <c r="E105" s="48">
        <f>'[51]6. Physical Assets'!F17</f>
        <v>10196.700000000001</v>
      </c>
      <c r="F105" s="48">
        <f>'[51]6. Physical Assets'!G17</f>
        <v>10113.200000000001</v>
      </c>
      <c r="G105" s="48">
        <f>'[51]6. Physical Assets'!H17</f>
        <v>10147.6</v>
      </c>
      <c r="H105" s="48">
        <f>'[51]6. Physical Assets'!I17</f>
        <v>10130</v>
      </c>
      <c r="I105" s="48">
        <f>'[51]6. Physical Assets'!J17</f>
        <v>10185.700000000001</v>
      </c>
      <c r="J105" s="48">
        <f>'[51]6. Physical Assets'!K17</f>
        <v>10143.9</v>
      </c>
      <c r="K105" s="48">
        <f>'[52]3.5 Physical assets'!$E$28</f>
        <v>10085.317000000001</v>
      </c>
      <c r="L105" s="18">
        <f>'[53]3.5 Physical assets'!$E$28</f>
        <v>10080.0742228</v>
      </c>
      <c r="M105" s="18">
        <f>'[54]3.5 Physical assets'!$C$27</f>
        <v>10041.109358129999</v>
      </c>
      <c r="N105" s="2"/>
      <c r="P105" s="24">
        <f t="shared" si="33"/>
        <v>10123.747805700001</v>
      </c>
    </row>
    <row r="107" spans="1:20">
      <c r="A107" s="23" t="s">
        <v>76</v>
      </c>
      <c r="B107" s="83" t="str">
        <f>"DPA02"</f>
        <v>DPA02</v>
      </c>
      <c r="C107" s="17">
        <v>2006</v>
      </c>
      <c r="D107" s="17">
        <v>2007</v>
      </c>
      <c r="E107" s="17">
        <v>2008</v>
      </c>
      <c r="F107" s="17">
        <v>2009</v>
      </c>
      <c r="G107" s="17">
        <v>2010</v>
      </c>
      <c r="H107" s="17">
        <v>2011</v>
      </c>
      <c r="I107" s="17">
        <v>2012</v>
      </c>
      <c r="J107" s="17">
        <v>2013</v>
      </c>
      <c r="K107" s="17">
        <v>2014</v>
      </c>
      <c r="L107" s="17">
        <v>2015</v>
      </c>
      <c r="M107" s="17">
        <v>2016</v>
      </c>
      <c r="P107" s="2" t="s">
        <v>209</v>
      </c>
    </row>
    <row r="108" spans="1:20">
      <c r="A108" s="17" t="s">
        <v>1</v>
      </c>
      <c r="B108" s="17" t="s">
        <v>33</v>
      </c>
      <c r="C108" s="18">
        <f>'[3]6. Physical Assets'!D25</f>
        <v>2226.6841277321209</v>
      </c>
      <c r="D108" s="18">
        <f>'[3]6. Physical Assets'!E25</f>
        <v>2283</v>
      </c>
      <c r="E108" s="18">
        <f>'[3]6. Physical Assets'!F25</f>
        <v>2283</v>
      </c>
      <c r="F108" s="18">
        <f>'[3]6. Physical Assets'!G25</f>
        <v>2370</v>
      </c>
      <c r="G108" s="18">
        <f>'[3]6. Physical Assets'!H25</f>
        <v>2456</v>
      </c>
      <c r="H108" s="18">
        <f>'[3]6. Physical Assets'!I25</f>
        <v>2535</v>
      </c>
      <c r="I108" s="18">
        <f>'[3]6. Physical Assets'!J25</f>
        <v>2614</v>
      </c>
      <c r="J108" s="18">
        <f>'[3]6. Physical Assets'!K25</f>
        <v>2775.785487960351</v>
      </c>
      <c r="K108" s="48">
        <f>'[4]3.5 Physical assets'!$E$43</f>
        <v>2854.5207370618195</v>
      </c>
      <c r="L108" s="24">
        <f>'[5]3.5 Physical assets'!$E$43</f>
        <v>2903.6260486099413</v>
      </c>
      <c r="M108" s="24">
        <f>'[6]3.5 Physical assets'!$C$41</f>
        <v>2946.4116804802484</v>
      </c>
      <c r="N108" s="2"/>
      <c r="P108" s="24">
        <f t="shared" ref="P108:P120" si="34">AVERAGE(I108:L108)</f>
        <v>2786.983068408028</v>
      </c>
      <c r="Q108" t="s">
        <v>129</v>
      </c>
    </row>
    <row r="109" spans="1:20">
      <c r="A109" s="17" t="s">
        <v>78</v>
      </c>
      <c r="B109" s="17" t="s">
        <v>33</v>
      </c>
      <c r="C109" s="45">
        <f>'[7]6. Physical Assets'!D27</f>
        <v>12633.594999999999</v>
      </c>
      <c r="D109" s="45">
        <f>'[7]6. Physical Assets'!E27</f>
        <v>12990.440200000001</v>
      </c>
      <c r="E109" s="45">
        <f>'[7]6. Physical Assets'!F27</f>
        <v>13237.806200000001</v>
      </c>
      <c r="F109" s="45">
        <f>'[7]6. Physical Assets'!G27</f>
        <v>13528.306199999999</v>
      </c>
      <c r="G109" s="45">
        <f>'[7]6. Physical Assets'!H27</f>
        <v>13778.575500000001</v>
      </c>
      <c r="H109" s="45">
        <f>'[7]6. Physical Assets'!I27</f>
        <v>14133.723</v>
      </c>
      <c r="I109" s="45">
        <f>'[7]6. Physical Assets'!J27</f>
        <v>14541.592999999999</v>
      </c>
      <c r="J109" s="45">
        <f>'[7]6. Physical Assets'!K27</f>
        <v>14891.606000000002</v>
      </c>
      <c r="K109" s="48">
        <f>'[8]3.5 Physical assets'!$E$43</f>
        <v>15227.388000000001</v>
      </c>
      <c r="L109" s="48">
        <f>'[9]3.5 Physical assets'!$E$43</f>
        <v>15364.557475778833</v>
      </c>
      <c r="M109" s="48">
        <f>'[10]3.5 Physical assets'!$C$41</f>
        <v>15519.247282688642</v>
      </c>
      <c r="N109" s="2"/>
      <c r="P109" s="24">
        <f t="shared" si="34"/>
        <v>15006.286118944709</v>
      </c>
    </row>
    <row r="110" spans="1:20">
      <c r="A110" s="17" t="s">
        <v>2</v>
      </c>
      <c r="B110" s="17" t="s">
        <v>33</v>
      </c>
      <c r="C110" s="45">
        <f>'[11]6. Physical Assets'!D28</f>
        <v>1690.7516766420017</v>
      </c>
      <c r="D110" s="45">
        <f>'[11]6. Physical Assets'!E28</f>
        <v>1783.5898276337589</v>
      </c>
      <c r="E110" s="45">
        <f>'[11]6. Physical Assets'!F28</f>
        <v>1843.3371883189061</v>
      </c>
      <c r="F110" s="45">
        <f>'[11]6. Physical Assets'!G28</f>
        <v>1877.7536800785083</v>
      </c>
      <c r="G110" s="45">
        <f>'[11]6. Physical Assets'!H28</f>
        <v>1914.1174746684087</v>
      </c>
      <c r="H110" s="45">
        <f>'[11]6. Physical Assets'!I28</f>
        <v>2061</v>
      </c>
      <c r="I110" s="45">
        <f>'[11]6. Physical Assets'!J28</f>
        <v>2073</v>
      </c>
      <c r="J110" s="45">
        <f>'[11]6. Physical Assets'!K28</f>
        <v>2114</v>
      </c>
      <c r="K110" s="48">
        <f>'[12]3.5 Physical assets'!$E$43</f>
        <v>2211.136571</v>
      </c>
      <c r="L110" s="48">
        <f>'[13]3.5 Physical assets'!$E$43</f>
        <v>2233.2444600000103</v>
      </c>
      <c r="M110" s="48">
        <f>'[14]3.5 Physical assets'!$C$41</f>
        <v>2266.7999999999997</v>
      </c>
      <c r="N110" s="2"/>
      <c r="P110" s="24">
        <f t="shared" si="34"/>
        <v>2157.8452577500025</v>
      </c>
    </row>
    <row r="111" spans="1:20">
      <c r="A111" s="17" t="s">
        <v>3</v>
      </c>
      <c r="B111" s="17" t="s">
        <v>33</v>
      </c>
      <c r="C111" s="45">
        <f>'[15]6. Physical Assets'!D27</f>
        <v>9045</v>
      </c>
      <c r="D111" s="45">
        <f>'[15]6. Physical Assets'!E27</f>
        <v>9423</v>
      </c>
      <c r="E111" s="45">
        <f>'[15]6. Physical Assets'!F27</f>
        <v>9859</v>
      </c>
      <c r="F111" s="45">
        <f>'[15]6. Physical Assets'!G27</f>
        <v>10136</v>
      </c>
      <c r="G111" s="45">
        <f>'[15]6. Physical Assets'!H27</f>
        <v>10386</v>
      </c>
      <c r="H111" s="45">
        <f>'[15]6. Physical Assets'!I27</f>
        <v>10761</v>
      </c>
      <c r="I111" s="45">
        <f>'[15]6. Physical Assets'!J27</f>
        <v>11151</v>
      </c>
      <c r="J111" s="45">
        <f>'[15]6. Physical Assets'!K27</f>
        <v>11617</v>
      </c>
      <c r="K111" s="48">
        <f>'[16]3.5 Physical assets'!$E$43</f>
        <v>12104.67</v>
      </c>
      <c r="L111" s="48">
        <f>'[17]3.5 Physical assets'!$E$43</f>
        <v>12635.856619000002</v>
      </c>
      <c r="M111" s="48">
        <f>'[18]3.5 Physical assets'!$C$41</f>
        <v>13173.102000000001</v>
      </c>
      <c r="N111" s="2"/>
      <c r="P111" s="24">
        <f t="shared" si="34"/>
        <v>11877.131654749999</v>
      </c>
    </row>
    <row r="112" spans="1:20">
      <c r="A112" s="17" t="s">
        <v>4</v>
      </c>
      <c r="B112" s="17" t="s">
        <v>33</v>
      </c>
      <c r="C112" s="45">
        <f>'[19]6. Physical Assets'!D25</f>
        <v>12201</v>
      </c>
      <c r="D112" s="45">
        <f>'[19]6. Physical Assets'!E25</f>
        <v>13022</v>
      </c>
      <c r="E112" s="45">
        <f>'[19]6. Physical Assets'!F25</f>
        <v>13827</v>
      </c>
      <c r="F112" s="45">
        <f>'[19]6. Physical Assets'!G25</f>
        <v>14696</v>
      </c>
      <c r="G112" s="45">
        <f>'[19]6. Physical Assets'!H25</f>
        <v>15337</v>
      </c>
      <c r="H112" s="45">
        <f>'[19]6. Physical Assets'!I25</f>
        <v>15871</v>
      </c>
      <c r="I112" s="45">
        <f>'[19]6. Physical Assets'!J25</f>
        <v>16350</v>
      </c>
      <c r="J112" s="45">
        <f>'[19]6. Physical Assets'!K25</f>
        <v>16748</v>
      </c>
      <c r="K112" s="48">
        <f>'[20]3.5 Physical assets'!$E$43</f>
        <v>16994.710999999996</v>
      </c>
      <c r="L112" s="48">
        <f>'[21]3.5 Physical assets'!$E$43</f>
        <v>17442.340000000004</v>
      </c>
      <c r="M112" s="48">
        <f>'[22]3.5 Physical assets'!$C$41</f>
        <v>18072.560000000005</v>
      </c>
      <c r="N112" s="2"/>
      <c r="P112" s="24">
        <f t="shared" si="34"/>
        <v>16883.762750000002</v>
      </c>
    </row>
    <row r="113" spans="1:17">
      <c r="A113" s="17" t="s">
        <v>10</v>
      </c>
      <c r="B113" s="17" t="s">
        <v>33</v>
      </c>
      <c r="C113" s="48">
        <f>'[23]6. Physical Assets'!D30</f>
        <v>3957.51</v>
      </c>
      <c r="D113" s="48">
        <f>'[23]6. Physical Assets'!E30</f>
        <v>4482.4459999999999</v>
      </c>
      <c r="E113" s="48">
        <f>'[23]6. Physical Assets'!F30</f>
        <v>5292.8770000000004</v>
      </c>
      <c r="F113" s="48">
        <f>'[23]6. Physical Assets'!G30</f>
        <v>6346.0159999999996</v>
      </c>
      <c r="G113" s="48">
        <f>'[23]6. Physical Assets'!H30</f>
        <v>6894.8040000000001</v>
      </c>
      <c r="H113" s="48">
        <f>'[23]6. Physical Assets'!I30</f>
        <v>7339.335</v>
      </c>
      <c r="I113" s="48">
        <f>'[23]6. Physical Assets'!J30</f>
        <v>7724.8860000000004</v>
      </c>
      <c r="J113" s="48">
        <f>'[23]6. Physical Assets'!K30</f>
        <v>8179.3249999999998</v>
      </c>
      <c r="K113" s="48">
        <f>'[24]3.5 Physical assets'!$E$43</f>
        <v>8503.553004398982</v>
      </c>
      <c r="L113" s="48">
        <f>'[25]3.5 Physical assets'!$E$43</f>
        <v>8913.2449121281679</v>
      </c>
      <c r="M113" s="48">
        <f>'[26]3.5 Physical assets'!$C$41</f>
        <v>9140.7352653397484</v>
      </c>
      <c r="N113" s="2"/>
      <c r="P113" s="24">
        <f t="shared" si="34"/>
        <v>8330.2522291317873</v>
      </c>
    </row>
    <row r="114" spans="1:17">
      <c r="A114" s="17" t="s">
        <v>5</v>
      </c>
      <c r="B114" s="17" t="s">
        <v>33</v>
      </c>
      <c r="C114" s="48">
        <f>'[27]6. Physical Assets'!D31</f>
        <v>5166</v>
      </c>
      <c r="D114" s="48">
        <f>'[27]6. Physical Assets'!E31</f>
        <v>6039</v>
      </c>
      <c r="E114" s="48">
        <f>'[27]6. Physical Assets'!F31</f>
        <v>5954</v>
      </c>
      <c r="F114" s="48">
        <f>'[27]6. Physical Assets'!G31</f>
        <v>5989</v>
      </c>
      <c r="G114" s="48">
        <f>'[27]6. Physical Assets'!H31</f>
        <v>6203</v>
      </c>
      <c r="H114" s="48">
        <f>'[27]6. Physical Assets'!I31</f>
        <v>7066</v>
      </c>
      <c r="I114" s="48">
        <f>'[27]6. Physical Assets'!J31</f>
        <v>7365</v>
      </c>
      <c r="J114" s="48">
        <f>'[27]6. Physical Assets'!K31</f>
        <v>7607</v>
      </c>
      <c r="K114" s="48">
        <f>'[28]3.5 Physical assets'!$E$43</f>
        <v>7665.9</v>
      </c>
      <c r="L114" s="48">
        <f>'[29]3.5 Physical assets'!$E$43</f>
        <v>7945.5014970858138</v>
      </c>
      <c r="M114" s="48">
        <f>'[30]3.5 Physical assets'!$C$41</f>
        <v>8333.4244197472181</v>
      </c>
      <c r="N114" s="2"/>
      <c r="P114" s="24">
        <f t="shared" si="34"/>
        <v>7645.8503742714538</v>
      </c>
    </row>
    <row r="115" spans="1:17">
      <c r="A115" s="17" t="s">
        <v>6</v>
      </c>
      <c r="B115" s="17" t="s">
        <v>33</v>
      </c>
      <c r="C115" s="48">
        <f>'[31]6. Physical Assets'!D28</f>
        <v>1300.8904054881041</v>
      </c>
      <c r="D115" s="48">
        <f>'[31]6. Physical Assets'!E28</f>
        <v>1344.3303160118953</v>
      </c>
      <c r="E115" s="48">
        <f>'[31]6. Physical Assets'!F28</f>
        <v>1415.6762888429591</v>
      </c>
      <c r="F115" s="48">
        <f>'[31]6. Physical Assets'!G28</f>
        <v>1463.26622</v>
      </c>
      <c r="G115" s="48">
        <f>'[31]6. Physical Assets'!H28</f>
        <v>1507.1591800000003</v>
      </c>
      <c r="H115" s="48">
        <f>'[31]6. Physical Assets'!I28</f>
        <v>1565.6344853564392</v>
      </c>
      <c r="I115" s="48">
        <f>'[31]6. Physical Assets'!J28</f>
        <v>1630.0100000000002</v>
      </c>
      <c r="J115" s="48">
        <f>'[31]6. Physical Assets'!K28</f>
        <v>1679.2797602493763</v>
      </c>
      <c r="K115" s="48">
        <f>'[32]3.5 Physical assets'!$E$43</f>
        <v>1725.0657418734829</v>
      </c>
      <c r="L115" s="48">
        <f>'[33]3.5 Physical assets'!$E$43</f>
        <v>1795.4201599999999</v>
      </c>
      <c r="M115" s="48">
        <f>'[34]3.5 Physical assets'!$C$41</f>
        <v>1851.3087937315154</v>
      </c>
      <c r="N115" s="2"/>
      <c r="P115" s="24">
        <f t="shared" si="34"/>
        <v>1707.4439155307148</v>
      </c>
    </row>
    <row r="116" spans="1:17">
      <c r="A116" s="17" t="s">
        <v>7</v>
      </c>
      <c r="B116" s="17" t="s">
        <v>33</v>
      </c>
      <c r="C116" s="48">
        <f>'[35]6. Physical Assets'!D28</f>
        <v>3323.7991023187465</v>
      </c>
      <c r="D116" s="48">
        <f>'[35]6. Physical Assets'!E28</f>
        <v>3512.4999999999995</v>
      </c>
      <c r="E116" s="48">
        <f>'[35]6. Physical Assets'!F28</f>
        <v>3541.5000000000005</v>
      </c>
      <c r="F116" s="48">
        <f>'[35]6. Physical Assets'!G28</f>
        <v>4584.7061214397945</v>
      </c>
      <c r="G116" s="48">
        <f>'[35]6. Physical Assets'!H28</f>
        <v>5128.6620490220139</v>
      </c>
      <c r="H116" s="48">
        <f>'[35]6. Physical Assets'!I28</f>
        <v>4688</v>
      </c>
      <c r="I116" s="48">
        <f>'[35]6. Physical Assets'!J28</f>
        <v>4830</v>
      </c>
      <c r="J116" s="48">
        <f>'[35]6. Physical Assets'!K28</f>
        <v>5065</v>
      </c>
      <c r="K116" s="48">
        <f>'[36]3.5 Physical assets'!$E$43</f>
        <v>5248.4063490000008</v>
      </c>
      <c r="L116" s="48">
        <f>'[37]3.5 Physical assets'!$E$43</f>
        <v>5576.7225400000398</v>
      </c>
      <c r="M116" s="48">
        <f>'[38]3.5 Physical assets'!$C$41</f>
        <v>5860.8</v>
      </c>
      <c r="N116" s="2"/>
      <c r="P116" s="24">
        <f t="shared" si="34"/>
        <v>5180.0322222500099</v>
      </c>
    </row>
    <row r="117" spans="1:17">
      <c r="A117" s="17" t="s">
        <v>8</v>
      </c>
      <c r="B117" s="17" t="s">
        <v>33</v>
      </c>
      <c r="C117" s="48">
        <f>'[39]6. Physical Assets'!D28</f>
        <v>13761.847656182401</v>
      </c>
      <c r="D117" s="48">
        <f>'[39]6. Physical Assets'!E28</f>
        <v>14300.857422668441</v>
      </c>
      <c r="E117" s="48">
        <f>'[39]6. Physical Assets'!F28</f>
        <v>14839.867189154475</v>
      </c>
      <c r="F117" s="48">
        <f>'[39]6. Physical Assets'!G28</f>
        <v>15488.943566456213</v>
      </c>
      <c r="G117" s="48">
        <f>'[39]6. Physical Assets'!H28</f>
        <v>15885.21237119121</v>
      </c>
      <c r="H117" s="48">
        <f>'[39]6. Physical Assets'!I28</f>
        <v>16127.990868133405</v>
      </c>
      <c r="I117" s="48">
        <f>'[39]6. Physical Assets'!J28</f>
        <v>16499.884838495418</v>
      </c>
      <c r="J117" s="48">
        <f>'[39]6. Physical Assets'!K28</f>
        <v>16729.450000000004</v>
      </c>
      <c r="K117" s="48">
        <f>'[40]3.5 Physical assets'!$E$43</f>
        <v>16922.971000000001</v>
      </c>
      <c r="L117" s="48">
        <f>'[41]3.5 Physical assets'!$E$43</f>
        <v>16971</v>
      </c>
      <c r="M117" s="48">
        <f>'[42]3.5 Physical assets'!$C$41</f>
        <v>17486</v>
      </c>
      <c r="N117" s="2"/>
      <c r="P117" s="24">
        <f t="shared" si="34"/>
        <v>16780.826459623855</v>
      </c>
    </row>
    <row r="118" spans="1:17">
      <c r="A118" s="17" t="s">
        <v>73</v>
      </c>
      <c r="B118" s="17" t="s">
        <v>33</v>
      </c>
      <c r="C118" s="48">
        <f>'[43]6. Physical Assets'!D28</f>
        <v>3864.76</v>
      </c>
      <c r="D118" s="48">
        <f>'[43]6. Physical Assets'!E28</f>
        <v>4111.4009999999998</v>
      </c>
      <c r="E118" s="48">
        <f>'[43]6. Physical Assets'!F28</f>
        <v>4290.7219999999998</v>
      </c>
      <c r="F118" s="48">
        <f>'[43]6. Physical Assets'!G28</f>
        <v>4612.5159999999996</v>
      </c>
      <c r="G118" s="48">
        <f>'[43]6. Physical Assets'!H28</f>
        <v>4792.9139999999998</v>
      </c>
      <c r="H118" s="48">
        <f>'[43]6. Physical Assets'!I28</f>
        <v>5069.076</v>
      </c>
      <c r="I118" s="48">
        <f>'[43]6. Physical Assets'!J28</f>
        <v>5322.3940000000002</v>
      </c>
      <c r="J118" s="48">
        <f>'[43]6. Physical Assets'!K28</f>
        <v>5502.2719999999999</v>
      </c>
      <c r="K118" s="48">
        <f>'[44]3.5 Physical assets'!$E$43</f>
        <v>5728.1507942210001</v>
      </c>
      <c r="L118" s="48">
        <f>'[45]3.5 Physical assets'!$E$43</f>
        <v>5965.934825000103</v>
      </c>
      <c r="M118" s="48">
        <f>'[46]3.5 Physical assets'!$C$41</f>
        <v>6267.051337999952</v>
      </c>
      <c r="N118" s="2"/>
      <c r="P118" s="24">
        <f t="shared" si="34"/>
        <v>5629.687904805276</v>
      </c>
    </row>
    <row r="119" spans="1:17">
      <c r="A119" s="17" t="s">
        <v>54</v>
      </c>
      <c r="B119" s="17" t="s">
        <v>33</v>
      </c>
      <c r="C119" s="48">
        <f>'[47]6. Physical Assets'!D30</f>
        <v>1902.3</v>
      </c>
      <c r="D119" s="48">
        <f>'[47]6. Physical Assets'!E30</f>
        <v>1902.5</v>
      </c>
      <c r="E119" s="48">
        <f>'[47]6. Physical Assets'!F30</f>
        <v>1902.5</v>
      </c>
      <c r="F119" s="48">
        <f>'[47]6. Physical Assets'!G30</f>
        <v>1930.6</v>
      </c>
      <c r="G119" s="48">
        <f>'[47]6. Physical Assets'!H30</f>
        <v>2095.2000000000003</v>
      </c>
      <c r="H119" s="48">
        <f>'[47]6. Physical Assets'!I30</f>
        <v>2274.9</v>
      </c>
      <c r="I119" s="48">
        <f>'[47]6. Physical Assets'!J30</f>
        <v>2339.3000000000002</v>
      </c>
      <c r="J119" s="48">
        <f>'[47]6. Physical Assets'!K30</f>
        <v>2373.6999999999998</v>
      </c>
      <c r="K119" s="48">
        <f>'[48]3.5 Physical assets'!$E$43</f>
        <v>2432.8000000000002</v>
      </c>
      <c r="L119" s="48">
        <f>'[49]3.5 Physical assets'!$E$43</f>
        <v>2465.2890000000002</v>
      </c>
      <c r="M119" s="48">
        <f>'[50]3.5 Physical assets'!$C$41</f>
        <v>2502.2689999999998</v>
      </c>
      <c r="N119" s="2"/>
      <c r="P119" s="24">
        <f t="shared" si="34"/>
        <v>2402.77225</v>
      </c>
    </row>
    <row r="120" spans="1:17">
      <c r="A120" s="17" t="s">
        <v>9</v>
      </c>
      <c r="B120" s="17" t="s">
        <v>33</v>
      </c>
      <c r="C120" s="48">
        <f>'[51]6. Physical Assets'!D27</f>
        <v>2276</v>
      </c>
      <c r="D120" s="48">
        <f>'[51]6. Physical Assets'!E27</f>
        <v>2318.4</v>
      </c>
      <c r="E120" s="48">
        <f>'[51]6. Physical Assets'!F27</f>
        <v>2386.1</v>
      </c>
      <c r="F120" s="48">
        <f>'[51]6. Physical Assets'!G27</f>
        <v>2424.3000000000002</v>
      </c>
      <c r="G120" s="48">
        <f>'[51]6. Physical Assets'!H27</f>
        <v>2496.8000000000002</v>
      </c>
      <c r="H120" s="48">
        <f>'[51]6. Physical Assets'!I27</f>
        <v>2595.4</v>
      </c>
      <c r="I120" s="48">
        <f>'[51]6. Physical Assets'!J27</f>
        <v>2631.9</v>
      </c>
      <c r="J120" s="48">
        <f>'[51]6. Physical Assets'!K27</f>
        <v>2690.8</v>
      </c>
      <c r="K120" s="48">
        <f>'[52]3.5 Physical assets'!$E$43</f>
        <v>2738.098</v>
      </c>
      <c r="L120" s="48">
        <f>'[53]3.5 Physical assets'!$E$43</f>
        <v>2793.1475426999996</v>
      </c>
      <c r="M120" s="48">
        <f>'[54]3.5 Physical assets'!$C$41</f>
        <v>2834.3576012599997</v>
      </c>
      <c r="N120" s="2"/>
      <c r="P120" s="24">
        <f t="shared" si="34"/>
        <v>2713.4863856749998</v>
      </c>
    </row>
    <row r="122" spans="1:17">
      <c r="A122" s="23" t="s">
        <v>104</v>
      </c>
      <c r="B122" s="2"/>
      <c r="C122" s="17">
        <v>2006</v>
      </c>
      <c r="D122" s="17">
        <v>2007</v>
      </c>
      <c r="E122" s="17">
        <v>2008</v>
      </c>
      <c r="F122" s="17">
        <v>2009</v>
      </c>
      <c r="G122" s="17">
        <v>2010</v>
      </c>
      <c r="H122" s="17">
        <v>2011</v>
      </c>
      <c r="I122" s="17">
        <v>2012</v>
      </c>
      <c r="J122" s="17">
        <v>2013</v>
      </c>
      <c r="K122" s="17">
        <v>2014</v>
      </c>
      <c r="L122" s="17">
        <v>2015</v>
      </c>
      <c r="M122" s="17">
        <v>2015</v>
      </c>
      <c r="P122" s="2" t="s">
        <v>209</v>
      </c>
      <c r="Q122" t="s">
        <v>130</v>
      </c>
    </row>
    <row r="123" spans="1:17">
      <c r="A123" s="17" t="s">
        <v>1</v>
      </c>
      <c r="B123" s="89" t="s">
        <v>85</v>
      </c>
      <c r="C123" s="4">
        <f t="shared" ref="C123:L123" si="35">C18/C3</f>
        <v>40.551879293923307</v>
      </c>
      <c r="D123" s="4">
        <f t="shared" si="35"/>
        <v>41.044174724915301</v>
      </c>
      <c r="E123" s="4">
        <f t="shared" si="35"/>
        <v>41.30840673197595</v>
      </c>
      <c r="F123" s="4">
        <f t="shared" si="35"/>
        <v>41.637330405393534</v>
      </c>
      <c r="G123" s="4">
        <f t="shared" si="35"/>
        <v>42.211287846169675</v>
      </c>
      <c r="H123" s="4">
        <f t="shared" si="35"/>
        <v>42.705332523061891</v>
      </c>
      <c r="I123" s="4">
        <f t="shared" si="35"/>
        <v>43.132467227135201</v>
      </c>
      <c r="J123" s="4">
        <f t="shared" si="35"/>
        <v>43.372820042008662</v>
      </c>
      <c r="K123" s="4">
        <f t="shared" si="35"/>
        <v>44.038935436175457</v>
      </c>
      <c r="L123" s="4">
        <f t="shared" si="35"/>
        <v>44.636966126656851</v>
      </c>
      <c r="M123" s="4">
        <f t="shared" ref="M123" si="36">M18/M3</f>
        <v>44.95904229460379</v>
      </c>
      <c r="N123" s="2"/>
      <c r="P123" s="77">
        <f t="shared" ref="P123:P135" si="37">AVERAGE(I123:L123)</f>
        <v>43.795297207994047</v>
      </c>
    </row>
    <row r="124" spans="1:17">
      <c r="A124" s="17" t="s">
        <v>78</v>
      </c>
      <c r="B124" s="89" t="s">
        <v>85</v>
      </c>
      <c r="C124" s="4">
        <f t="shared" ref="C124:L124" si="38">C19/C4</f>
        <v>44.72183179099541</v>
      </c>
      <c r="D124" s="4">
        <f t="shared" si="38"/>
        <v>44.706393365177235</v>
      </c>
      <c r="E124" s="4">
        <f t="shared" si="38"/>
        <v>44.753160303668963</v>
      </c>
      <c r="F124" s="4">
        <f t="shared" si="38"/>
        <v>44.719868805012176</v>
      </c>
      <c r="G124" s="4">
        <f t="shared" si="38"/>
        <v>44.707759972118708</v>
      </c>
      <c r="H124" s="4">
        <f t="shared" si="38"/>
        <v>44.436836974942466</v>
      </c>
      <c r="I124" s="4">
        <f t="shared" si="38"/>
        <v>44.295999138804959</v>
      </c>
      <c r="J124" s="4">
        <f t="shared" si="38"/>
        <v>44.248482731711306</v>
      </c>
      <c r="K124" s="4">
        <f t="shared" si="38"/>
        <v>44.226973597113208</v>
      </c>
      <c r="L124" s="4">
        <f t="shared" si="38"/>
        <v>43.155551762571882</v>
      </c>
      <c r="M124" s="4">
        <f t="shared" ref="M124" si="39">M19/M4</f>
        <v>43.386404811861254</v>
      </c>
      <c r="N124" s="2"/>
      <c r="P124" s="77">
        <f t="shared" si="37"/>
        <v>43.981751807550339</v>
      </c>
    </row>
    <row r="125" spans="1:17">
      <c r="A125" s="17" t="s">
        <v>2</v>
      </c>
      <c r="B125" s="89" t="s">
        <v>85</v>
      </c>
      <c r="C125" s="4">
        <f t="shared" ref="C125:L125" si="40">C20/C5</f>
        <v>103.65611228166941</v>
      </c>
      <c r="D125" s="4">
        <f t="shared" si="40"/>
        <v>102.27609621595315</v>
      </c>
      <c r="E125" s="4">
        <f t="shared" si="40"/>
        <v>104.56964979027126</v>
      </c>
      <c r="F125" s="4">
        <f t="shared" si="40"/>
        <v>104.73622756489902</v>
      </c>
      <c r="G125" s="4">
        <f t="shared" si="40"/>
        <v>105.48943241917124</v>
      </c>
      <c r="H125" s="4">
        <f t="shared" si="40"/>
        <v>102.46268425171428</v>
      </c>
      <c r="I125" s="4">
        <f t="shared" si="40"/>
        <v>103.36966376484868</v>
      </c>
      <c r="J125" s="4">
        <f t="shared" si="40"/>
        <v>103.67535210999536</v>
      </c>
      <c r="K125" s="4">
        <f t="shared" si="40"/>
        <v>102.29665781720483</v>
      </c>
      <c r="L125" s="4">
        <f t="shared" si="40"/>
        <v>102.38606340264865</v>
      </c>
      <c r="M125" s="4">
        <f t="shared" ref="M125" si="41">M20/M5</f>
        <v>104.1560776049092</v>
      </c>
      <c r="N125" s="2"/>
      <c r="P125" s="77">
        <f t="shared" si="37"/>
        <v>102.93193427367437</v>
      </c>
    </row>
    <row r="126" spans="1:17">
      <c r="A126" s="17" t="s">
        <v>3</v>
      </c>
      <c r="B126" s="89" t="s">
        <v>85</v>
      </c>
      <c r="C126" s="4">
        <f t="shared" ref="C126:L126" si="42">C21/C6</f>
        <v>33.08944326824696</v>
      </c>
      <c r="D126" s="4">
        <f t="shared" si="42"/>
        <v>33.077692481984243</v>
      </c>
      <c r="E126" s="4">
        <f t="shared" si="42"/>
        <v>32.990695841385161</v>
      </c>
      <c r="F126" s="4">
        <f t="shared" si="42"/>
        <v>33.052527726969458</v>
      </c>
      <c r="G126" s="4">
        <f t="shared" si="42"/>
        <v>33.098286287678462</v>
      </c>
      <c r="H126" s="4">
        <f t="shared" si="42"/>
        <v>33.088059892731223</v>
      </c>
      <c r="I126" s="4">
        <f t="shared" si="42"/>
        <v>33.043512968587102</v>
      </c>
      <c r="J126" s="4">
        <f t="shared" si="42"/>
        <v>33.154640929347927</v>
      </c>
      <c r="K126" s="4">
        <f t="shared" si="42"/>
        <v>33.464880740477035</v>
      </c>
      <c r="L126" s="4">
        <f t="shared" si="42"/>
        <v>33.869547500088586</v>
      </c>
      <c r="M126" s="4">
        <f t="shared" ref="M126" si="43">M21/M6</f>
        <v>34.160920878333926</v>
      </c>
      <c r="N126" s="2"/>
      <c r="P126" s="77">
        <f t="shared" si="37"/>
        <v>33.383145534625157</v>
      </c>
    </row>
    <row r="127" spans="1:17">
      <c r="A127" s="17" t="s">
        <v>4</v>
      </c>
      <c r="B127" s="89" t="s">
        <v>85</v>
      </c>
      <c r="C127" s="4">
        <f t="shared" ref="C127:L127" si="44">C22/C7</f>
        <v>32.011820573672253</v>
      </c>
      <c r="D127" s="4">
        <f t="shared" si="44"/>
        <v>31.908437922162854</v>
      </c>
      <c r="E127" s="4">
        <f t="shared" si="44"/>
        <v>31.914011549113194</v>
      </c>
      <c r="F127" s="4">
        <f t="shared" si="44"/>
        <v>31.801098787998551</v>
      </c>
      <c r="G127" s="4">
        <f t="shared" si="44"/>
        <v>31.789996191031904</v>
      </c>
      <c r="H127" s="4">
        <f t="shared" si="44"/>
        <v>31.820468229029242</v>
      </c>
      <c r="I127" s="4">
        <f t="shared" si="44"/>
        <v>31.861740717909811</v>
      </c>
      <c r="J127" s="4">
        <f t="shared" si="44"/>
        <v>31.927853570338367</v>
      </c>
      <c r="K127" s="4">
        <f t="shared" si="44"/>
        <v>32.13603996918264</v>
      </c>
      <c r="L127" s="4">
        <f t="shared" si="44"/>
        <v>32.42858725105468</v>
      </c>
      <c r="M127" s="4">
        <f t="shared" ref="M127" si="45">M22/M7</f>
        <v>32.456322206493446</v>
      </c>
      <c r="N127" s="2"/>
      <c r="P127" s="77">
        <f t="shared" si="37"/>
        <v>32.088555377121381</v>
      </c>
    </row>
    <row r="128" spans="1:17">
      <c r="A128" s="17" t="s">
        <v>10</v>
      </c>
      <c r="B128" s="89" t="s">
        <v>85</v>
      </c>
      <c r="C128" s="4">
        <f t="shared" ref="C128:L128" si="46">C23/C8</f>
        <v>4.5402850288995147</v>
      </c>
      <c r="D128" s="4">
        <f t="shared" si="46"/>
        <v>4.5653533768593926</v>
      </c>
      <c r="E128" s="4">
        <f t="shared" si="46"/>
        <v>4.6389769835684005</v>
      </c>
      <c r="F128" s="4">
        <f t="shared" si="46"/>
        <v>4.7079325073676088</v>
      </c>
      <c r="G128" s="4">
        <f t="shared" si="46"/>
        <v>4.7782318730892692</v>
      </c>
      <c r="H128" s="4">
        <f t="shared" si="46"/>
        <v>4.8749531589244892</v>
      </c>
      <c r="I128" s="4">
        <f t="shared" si="46"/>
        <v>4.9104034510347807</v>
      </c>
      <c r="J128" s="4">
        <f t="shared" si="46"/>
        <v>5.0226027409898748</v>
      </c>
      <c r="K128" s="4">
        <f t="shared" si="46"/>
        <v>5.0895875233456795</v>
      </c>
      <c r="L128" s="4">
        <f t="shared" si="46"/>
        <v>5.2015909548074335</v>
      </c>
      <c r="M128" s="4">
        <f t="shared" ref="M128" si="47">M23/M8</f>
        <v>5.2654867801797263</v>
      </c>
      <c r="N128" s="2"/>
      <c r="P128" s="77">
        <f t="shared" si="37"/>
        <v>5.0560461675444426</v>
      </c>
    </row>
    <row r="129" spans="1:16">
      <c r="A129" s="17" t="s">
        <v>5</v>
      </c>
      <c r="B129" s="89" t="s">
        <v>85</v>
      </c>
      <c r="C129" s="4">
        <f t="shared" ref="C129:L129" si="48">C24/C9</f>
        <v>4.2160772002978426</v>
      </c>
      <c r="D129" s="4">
        <f t="shared" si="48"/>
        <v>4.4772191551798048</v>
      </c>
      <c r="E129" s="4">
        <f t="shared" si="48"/>
        <v>4.6194159469213645</v>
      </c>
      <c r="F129" s="4">
        <f t="shared" si="48"/>
        <v>4.6097653633066118</v>
      </c>
      <c r="G129" s="4">
        <f t="shared" si="48"/>
        <v>4.5661013287522199</v>
      </c>
      <c r="H129" s="4">
        <f t="shared" si="48"/>
        <v>4.626802111520206</v>
      </c>
      <c r="I129" s="4">
        <f t="shared" si="48"/>
        <v>4.6469548155374243</v>
      </c>
      <c r="J129" s="4">
        <f t="shared" si="48"/>
        <v>4.6710154309204883</v>
      </c>
      <c r="K129" s="4">
        <f t="shared" si="48"/>
        <v>4.7262712942829799</v>
      </c>
      <c r="L129" s="4">
        <f t="shared" si="48"/>
        <v>4.7799183940414522</v>
      </c>
      <c r="M129" s="4">
        <f t="shared" ref="M129" si="49">M24/M9</f>
        <v>4.838005200930783</v>
      </c>
      <c r="N129" s="2"/>
      <c r="P129" s="77">
        <f t="shared" si="37"/>
        <v>4.706039983695586</v>
      </c>
    </row>
    <row r="130" spans="1:16">
      <c r="A130" s="17" t="s">
        <v>6</v>
      </c>
      <c r="B130" s="89" t="s">
        <v>85</v>
      </c>
      <c r="C130" s="4">
        <f t="shared" ref="C130:L130" si="50">C25/C10</f>
        <v>72.178065092771007</v>
      </c>
      <c r="D130" s="4">
        <f t="shared" si="50"/>
        <v>73.022668926026242</v>
      </c>
      <c r="E130" s="4">
        <f t="shared" si="50"/>
        <v>72.693234809699732</v>
      </c>
      <c r="F130" s="4">
        <f t="shared" si="50"/>
        <v>72.630635336355226</v>
      </c>
      <c r="G130" s="4">
        <f t="shared" si="50"/>
        <v>73.155182440677223</v>
      </c>
      <c r="H130" s="4">
        <f t="shared" si="50"/>
        <v>73.220704803339217</v>
      </c>
      <c r="I130" s="4">
        <f t="shared" si="50"/>
        <v>73.393255441730659</v>
      </c>
      <c r="J130" s="4">
        <f t="shared" si="50"/>
        <v>73.456614027548312</v>
      </c>
      <c r="K130" s="4">
        <f t="shared" si="50"/>
        <v>71.149301828574437</v>
      </c>
      <c r="L130" s="4">
        <f t="shared" si="50"/>
        <v>71.664882943143809</v>
      </c>
      <c r="M130" s="4">
        <f t="shared" ref="M130" si="51">M25/M10</f>
        <v>71.823673371103141</v>
      </c>
      <c r="N130" s="2"/>
      <c r="P130" s="77">
        <f t="shared" si="37"/>
        <v>72.416013560249311</v>
      </c>
    </row>
    <row r="131" spans="1:16">
      <c r="A131" s="17" t="s">
        <v>7</v>
      </c>
      <c r="B131" s="89" t="s">
        <v>85</v>
      </c>
      <c r="C131" s="4">
        <f t="shared" ref="C131:L131" si="52">C26/C11</f>
        <v>10.24895308671211</v>
      </c>
      <c r="D131" s="4">
        <f t="shared" si="52"/>
        <v>10.39510971000858</v>
      </c>
      <c r="E131" s="4">
        <f t="shared" si="52"/>
        <v>10.559831342064626</v>
      </c>
      <c r="F131" s="4">
        <f t="shared" si="52"/>
        <v>10.623607692166676</v>
      </c>
      <c r="G131" s="4">
        <f t="shared" si="52"/>
        <v>10.751699748000371</v>
      </c>
      <c r="H131" s="4">
        <f t="shared" si="52"/>
        <v>11.043788466250255</v>
      </c>
      <c r="I131" s="4">
        <f t="shared" si="52"/>
        <v>11.174264292796693</v>
      </c>
      <c r="J131" s="4">
        <f t="shared" si="52"/>
        <v>11.280026593645704</v>
      </c>
      <c r="K131" s="4">
        <f t="shared" si="52"/>
        <v>11.420480837572837</v>
      </c>
      <c r="L131" s="4">
        <f t="shared" si="52"/>
        <v>11.540877110544045</v>
      </c>
      <c r="M131" s="4">
        <f t="shared" ref="M131" si="53">M26/M11</f>
        <v>11.830892547724424</v>
      </c>
      <c r="N131" s="2"/>
      <c r="P131" s="77">
        <f t="shared" si="37"/>
        <v>11.353912208639819</v>
      </c>
    </row>
    <row r="132" spans="1:16">
      <c r="A132" s="17" t="s">
        <v>8</v>
      </c>
      <c r="B132" s="89" t="s">
        <v>85</v>
      </c>
      <c r="C132" s="4">
        <f t="shared" ref="C132:L132" si="54">C27/C12</f>
        <v>9.6104419102956822</v>
      </c>
      <c r="D132" s="4">
        <f t="shared" si="54"/>
        <v>9.6235478132985701</v>
      </c>
      <c r="E132" s="4">
        <f t="shared" si="54"/>
        <v>9.6502225891939553</v>
      </c>
      <c r="F132" s="4">
        <f t="shared" si="54"/>
        <v>10.040575351824755</v>
      </c>
      <c r="G132" s="4">
        <f t="shared" si="54"/>
        <v>10.167826144870579</v>
      </c>
      <c r="H132" s="4">
        <f t="shared" si="54"/>
        <v>10.316871930776687</v>
      </c>
      <c r="I132" s="4">
        <f t="shared" si="54"/>
        <v>10.404777308378002</v>
      </c>
      <c r="J132" s="4">
        <f t="shared" si="54"/>
        <v>10.448574633028088</v>
      </c>
      <c r="K132" s="4">
        <f t="shared" si="54"/>
        <v>10.48934768419886</v>
      </c>
      <c r="L132" s="4">
        <f t="shared" si="54"/>
        <v>10.513150927640705</v>
      </c>
      <c r="M132" s="4">
        <f t="shared" ref="M132" si="55">M27/M12</f>
        <v>10.498160476863145</v>
      </c>
      <c r="N132" s="2"/>
      <c r="P132" s="77">
        <f t="shared" si="37"/>
        <v>10.463962638311415</v>
      </c>
    </row>
    <row r="133" spans="1:16">
      <c r="A133" s="17" t="s">
        <v>73</v>
      </c>
      <c r="B133" s="89" t="s">
        <v>85</v>
      </c>
      <c r="C133" s="4">
        <f t="shared" ref="C133:L133" si="56">C28/C13</f>
        <v>17.271343522052984</v>
      </c>
      <c r="D133" s="4">
        <f t="shared" si="56"/>
        <v>17.381311567413011</v>
      </c>
      <c r="E133" s="4">
        <f t="shared" si="56"/>
        <v>17.525264397131366</v>
      </c>
      <c r="F133" s="4">
        <f t="shared" si="56"/>
        <v>17.499863354079636</v>
      </c>
      <c r="G133" s="4">
        <f t="shared" si="56"/>
        <v>17.539521880068254</v>
      </c>
      <c r="H133" s="4">
        <f t="shared" si="56"/>
        <v>17.602991940136612</v>
      </c>
      <c r="I133" s="4">
        <f t="shared" si="56"/>
        <v>17.718834200618311</v>
      </c>
      <c r="J133" s="4">
        <f t="shared" si="56"/>
        <v>17.951120143467556</v>
      </c>
      <c r="K133" s="4">
        <f t="shared" si="56"/>
        <v>17.815601883853191</v>
      </c>
      <c r="L133" s="4">
        <f t="shared" si="56"/>
        <v>18.307554755940249</v>
      </c>
      <c r="M133" s="4">
        <f t="shared" ref="M133" si="57">M28/M13</f>
        <v>18.364623093413218</v>
      </c>
      <c r="N133" s="2"/>
      <c r="P133" s="77">
        <f t="shared" si="37"/>
        <v>17.948277745969826</v>
      </c>
    </row>
    <row r="134" spans="1:16">
      <c r="A134" s="17" t="s">
        <v>54</v>
      </c>
      <c r="B134" s="89" t="s">
        <v>85</v>
      </c>
      <c r="C134" s="4">
        <f t="shared" ref="C134:L134" si="58">C29/C14</f>
        <v>12.453668101029082</v>
      </c>
      <c r="D134" s="4">
        <f t="shared" si="58"/>
        <v>12.694245526024073</v>
      </c>
      <c r="E134" s="4">
        <f t="shared" si="58"/>
        <v>12.939692907246906</v>
      </c>
      <c r="F134" s="4">
        <f t="shared" si="58"/>
        <v>13.190108826157012</v>
      </c>
      <c r="G134" s="4">
        <f t="shared" si="58"/>
        <v>13.444925822122858</v>
      </c>
      <c r="H134" s="4">
        <f t="shared" si="58"/>
        <v>13.663480112932785</v>
      </c>
      <c r="I134" s="4">
        <f t="shared" si="58"/>
        <v>13.747753086419753</v>
      </c>
      <c r="J134" s="4">
        <f t="shared" si="58"/>
        <v>13.785921875769667</v>
      </c>
      <c r="K134" s="4">
        <f t="shared" si="58"/>
        <v>13.78861549039831</v>
      </c>
      <c r="L134" s="4">
        <f t="shared" si="58"/>
        <v>13.85710089587311</v>
      </c>
      <c r="M134" s="4">
        <f t="shared" ref="M134" si="59">M29/M14</f>
        <v>13.966138331550258</v>
      </c>
      <c r="N134" s="2"/>
      <c r="P134" s="77">
        <f t="shared" si="37"/>
        <v>13.79484783711521</v>
      </c>
    </row>
    <row r="135" spans="1:16">
      <c r="A135" s="17" t="s">
        <v>9</v>
      </c>
      <c r="B135" s="89" t="s">
        <v>85</v>
      </c>
      <c r="C135" s="4">
        <f t="shared" ref="C135:L135" si="60">C30/C15</f>
        <v>60.703559882877357</v>
      </c>
      <c r="D135" s="4">
        <f t="shared" si="60"/>
        <v>60.951805263452364</v>
      </c>
      <c r="E135" s="4">
        <f t="shared" si="60"/>
        <v>61.294116813622701</v>
      </c>
      <c r="F135" s="4">
        <f t="shared" si="60"/>
        <v>62.203104347225022</v>
      </c>
      <c r="G135" s="4">
        <f t="shared" si="60"/>
        <v>62.555813928902545</v>
      </c>
      <c r="H135" s="4">
        <f t="shared" si="60"/>
        <v>63.387093134264312</v>
      </c>
      <c r="I135" s="4">
        <f t="shared" si="60"/>
        <v>63.707279425428091</v>
      </c>
      <c r="J135" s="4">
        <f t="shared" si="60"/>
        <v>64.822391962021811</v>
      </c>
      <c r="K135" s="4">
        <f t="shared" si="60"/>
        <v>64.98846606797342</v>
      </c>
      <c r="L135" s="4">
        <f t="shared" si="60"/>
        <v>65.625362604004096</v>
      </c>
      <c r="M135" s="4">
        <f t="shared" ref="M135" si="61">M30/M15</f>
        <v>66.176458238673945</v>
      </c>
      <c r="N135" s="2"/>
      <c r="P135" s="77">
        <f t="shared" si="37"/>
        <v>64.785875014856856</v>
      </c>
    </row>
  </sheetData>
  <pageMargins left="0.7" right="0.7" top="0.75" bottom="0.75" header="0.3" footer="0.3"/>
  <pageSetup paperSize="9" orientation="portrait" r:id="rId1"/>
  <legacyDrawing r:id="rId2"/>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data'!C3:M3</xm:f>
              <xm:sqref>N3</xm:sqref>
            </x14:sparkline>
            <x14:sparkline>
              <xm:f>'Physical data'!C4:M4</xm:f>
              <xm:sqref>N4</xm:sqref>
            </x14:sparkline>
            <x14:sparkline>
              <xm:f>'Physical data'!C5:M5</xm:f>
              <xm:sqref>N5</xm:sqref>
            </x14:sparkline>
            <x14:sparkline>
              <xm:f>'Physical data'!C6:M6</xm:f>
              <xm:sqref>N6</xm:sqref>
            </x14:sparkline>
            <x14:sparkline>
              <xm:f>'Physical data'!C7:M7</xm:f>
              <xm:sqref>N7</xm:sqref>
            </x14:sparkline>
            <x14:sparkline>
              <xm:f>'Physical data'!C8:M8</xm:f>
              <xm:sqref>N8</xm:sqref>
            </x14:sparkline>
            <x14:sparkline>
              <xm:f>'Physical data'!C9:M9</xm:f>
              <xm:sqref>N9</xm:sqref>
            </x14:sparkline>
            <x14:sparkline>
              <xm:f>'Physical data'!C10:M10</xm:f>
              <xm:sqref>N10</xm:sqref>
            </x14:sparkline>
            <x14:sparkline>
              <xm:f>'Physical data'!C11:M11</xm:f>
              <xm:sqref>N11</xm:sqref>
            </x14:sparkline>
            <x14:sparkline>
              <xm:f>'Physical data'!C12:M12</xm:f>
              <xm:sqref>N12</xm:sqref>
            </x14:sparkline>
            <x14:sparkline>
              <xm:f>'Physical data'!C13:M13</xm:f>
              <xm:sqref>N13</xm:sqref>
            </x14:sparkline>
            <x14:sparkline>
              <xm:f>'Physical data'!C14:M14</xm:f>
              <xm:sqref>N14</xm:sqref>
            </x14:sparkline>
            <x14:sparkline>
              <xm:f>'Physical data'!C15:M15</xm:f>
              <xm:sqref>N15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data'!C18:M18</xm:f>
              <xm:sqref>N18</xm:sqref>
            </x14:sparkline>
            <x14:sparkline>
              <xm:f>'Physical data'!C19:M19</xm:f>
              <xm:sqref>N19</xm:sqref>
            </x14:sparkline>
            <x14:sparkline>
              <xm:f>'Physical data'!C20:M20</xm:f>
              <xm:sqref>N20</xm:sqref>
            </x14:sparkline>
            <x14:sparkline>
              <xm:f>'Physical data'!C21:M21</xm:f>
              <xm:sqref>N21</xm:sqref>
            </x14:sparkline>
            <x14:sparkline>
              <xm:f>'Physical data'!C22:M22</xm:f>
              <xm:sqref>N22</xm:sqref>
            </x14:sparkline>
            <x14:sparkline>
              <xm:f>'Physical data'!C23:M23</xm:f>
              <xm:sqref>N23</xm:sqref>
            </x14:sparkline>
            <x14:sparkline>
              <xm:f>'Physical data'!C24:M24</xm:f>
              <xm:sqref>N24</xm:sqref>
            </x14:sparkline>
            <x14:sparkline>
              <xm:f>'Physical data'!C25:M25</xm:f>
              <xm:sqref>N25</xm:sqref>
            </x14:sparkline>
            <x14:sparkline>
              <xm:f>'Physical data'!C26:M26</xm:f>
              <xm:sqref>N26</xm:sqref>
            </x14:sparkline>
            <x14:sparkline>
              <xm:f>'Physical data'!C27:M27</xm:f>
              <xm:sqref>N27</xm:sqref>
            </x14:sparkline>
            <x14:sparkline>
              <xm:f>'Physical data'!C28:M28</xm:f>
              <xm:sqref>N28</xm:sqref>
            </x14:sparkline>
            <x14:sparkline>
              <xm:f>'Physical data'!C29:M29</xm:f>
              <xm:sqref>N29</xm:sqref>
            </x14:sparkline>
            <x14:sparkline>
              <xm:f>'Physical data'!C30:M30</xm:f>
              <xm:sqref>N30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data'!C33:M33</xm:f>
              <xm:sqref>N33</xm:sqref>
            </x14:sparkline>
            <x14:sparkline>
              <xm:f>'Physical data'!C34:M34</xm:f>
              <xm:sqref>N34</xm:sqref>
            </x14:sparkline>
            <x14:sparkline>
              <xm:f>'Physical data'!C35:M35</xm:f>
              <xm:sqref>N35</xm:sqref>
            </x14:sparkline>
            <x14:sparkline>
              <xm:f>'Physical data'!C36:M36</xm:f>
              <xm:sqref>N36</xm:sqref>
            </x14:sparkline>
            <x14:sparkline>
              <xm:f>'Physical data'!C37:M37</xm:f>
              <xm:sqref>N37</xm:sqref>
            </x14:sparkline>
            <x14:sparkline>
              <xm:f>'Physical data'!C38:M38</xm:f>
              <xm:sqref>N38</xm:sqref>
            </x14:sparkline>
            <x14:sparkline>
              <xm:f>'Physical data'!C39:M39</xm:f>
              <xm:sqref>N39</xm:sqref>
            </x14:sparkline>
            <x14:sparkline>
              <xm:f>'Physical data'!C40:M40</xm:f>
              <xm:sqref>N40</xm:sqref>
            </x14:sparkline>
            <x14:sparkline>
              <xm:f>'Physical data'!C41:M41</xm:f>
              <xm:sqref>N41</xm:sqref>
            </x14:sparkline>
            <x14:sparkline>
              <xm:f>'Physical data'!C42:M42</xm:f>
              <xm:sqref>N42</xm:sqref>
            </x14:sparkline>
            <x14:sparkline>
              <xm:f>'Physical data'!C43:M43</xm:f>
              <xm:sqref>N43</xm:sqref>
            </x14:sparkline>
            <x14:sparkline>
              <xm:f>'Physical data'!C44:M44</xm:f>
              <xm:sqref>N44</xm:sqref>
            </x14:sparkline>
            <x14:sparkline>
              <xm:f>'Physical data'!C45:M45</xm:f>
              <xm:sqref>N45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data'!C48:M48</xm:f>
              <xm:sqref>N48</xm:sqref>
            </x14:sparkline>
            <x14:sparkline>
              <xm:f>'Physical data'!C49:M49</xm:f>
              <xm:sqref>N49</xm:sqref>
            </x14:sparkline>
            <x14:sparkline>
              <xm:f>'Physical data'!C50:M50</xm:f>
              <xm:sqref>N50</xm:sqref>
            </x14:sparkline>
            <x14:sparkline>
              <xm:f>'Physical data'!C51:M51</xm:f>
              <xm:sqref>N51</xm:sqref>
            </x14:sparkline>
            <x14:sparkline>
              <xm:f>'Physical data'!C52:M52</xm:f>
              <xm:sqref>N52</xm:sqref>
            </x14:sparkline>
            <x14:sparkline>
              <xm:f>'Physical data'!C53:M53</xm:f>
              <xm:sqref>N53</xm:sqref>
            </x14:sparkline>
            <x14:sparkline>
              <xm:f>'Physical data'!C54:M54</xm:f>
              <xm:sqref>N54</xm:sqref>
            </x14:sparkline>
            <x14:sparkline>
              <xm:f>'Physical data'!C55:M55</xm:f>
              <xm:sqref>N55</xm:sqref>
            </x14:sparkline>
            <x14:sparkline>
              <xm:f>'Physical data'!C56:M56</xm:f>
              <xm:sqref>N56</xm:sqref>
            </x14:sparkline>
            <x14:sparkline>
              <xm:f>'Physical data'!C57:M57</xm:f>
              <xm:sqref>N57</xm:sqref>
            </x14:sparkline>
            <x14:sparkline>
              <xm:f>'Physical data'!C58:M58</xm:f>
              <xm:sqref>N58</xm:sqref>
            </x14:sparkline>
            <x14:sparkline>
              <xm:f>'Physical data'!C59:M59</xm:f>
              <xm:sqref>N59</xm:sqref>
            </x14:sparkline>
            <x14:sparkline>
              <xm:f>'Physical data'!C60:M60</xm:f>
              <xm:sqref>N60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data'!C63:M63</xm:f>
              <xm:sqref>N63</xm:sqref>
            </x14:sparkline>
            <x14:sparkline>
              <xm:f>'Physical data'!C64:M64</xm:f>
              <xm:sqref>N64</xm:sqref>
            </x14:sparkline>
            <x14:sparkline>
              <xm:f>'Physical data'!C65:M65</xm:f>
              <xm:sqref>N65</xm:sqref>
            </x14:sparkline>
            <x14:sparkline>
              <xm:f>'Physical data'!C66:M66</xm:f>
              <xm:sqref>N66</xm:sqref>
            </x14:sparkline>
            <x14:sparkline>
              <xm:f>'Physical data'!C67:M67</xm:f>
              <xm:sqref>N67</xm:sqref>
            </x14:sparkline>
            <x14:sparkline>
              <xm:f>'Physical data'!C68:M68</xm:f>
              <xm:sqref>N68</xm:sqref>
            </x14:sparkline>
            <x14:sparkline>
              <xm:f>'Physical data'!C69:M69</xm:f>
              <xm:sqref>N69</xm:sqref>
            </x14:sparkline>
            <x14:sparkline>
              <xm:f>'Physical data'!C70:M70</xm:f>
              <xm:sqref>N70</xm:sqref>
            </x14:sparkline>
            <x14:sparkline>
              <xm:f>'Physical data'!C71:M71</xm:f>
              <xm:sqref>N71</xm:sqref>
            </x14:sparkline>
            <x14:sparkline>
              <xm:f>'Physical data'!C72:M72</xm:f>
              <xm:sqref>N72</xm:sqref>
            </x14:sparkline>
            <x14:sparkline>
              <xm:f>'Physical data'!C73:M73</xm:f>
              <xm:sqref>N73</xm:sqref>
            </x14:sparkline>
            <x14:sparkline>
              <xm:f>'Physical data'!C74:M74</xm:f>
              <xm:sqref>N74</xm:sqref>
            </x14:sparkline>
            <x14:sparkline>
              <xm:f>'Physical data'!C75:M75</xm:f>
              <xm:sqref>N75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data'!C78:L78</xm:f>
              <xm:sqref>N78</xm:sqref>
            </x14:sparkline>
            <x14:sparkline>
              <xm:f>'Physical data'!C79:L79</xm:f>
              <xm:sqref>N79</xm:sqref>
            </x14:sparkline>
            <x14:sparkline>
              <xm:f>'Physical data'!C80:L80</xm:f>
              <xm:sqref>N80</xm:sqref>
            </x14:sparkline>
            <x14:sparkline>
              <xm:f>'Physical data'!C81:L81</xm:f>
              <xm:sqref>N81</xm:sqref>
            </x14:sparkline>
            <x14:sparkline>
              <xm:f>'Physical data'!C82:L82</xm:f>
              <xm:sqref>N82</xm:sqref>
            </x14:sparkline>
            <x14:sparkline>
              <xm:f>'Physical data'!C83:L83</xm:f>
              <xm:sqref>N83</xm:sqref>
            </x14:sparkline>
            <x14:sparkline>
              <xm:f>'Physical data'!C84:L84</xm:f>
              <xm:sqref>N84</xm:sqref>
            </x14:sparkline>
            <x14:sparkline>
              <xm:f>'Physical data'!C85:L85</xm:f>
              <xm:sqref>N85</xm:sqref>
            </x14:sparkline>
            <x14:sparkline>
              <xm:f>'Physical data'!C86:L86</xm:f>
              <xm:sqref>N86</xm:sqref>
            </x14:sparkline>
            <x14:sparkline>
              <xm:f>'Physical data'!C87:L87</xm:f>
              <xm:sqref>N87</xm:sqref>
            </x14:sparkline>
            <x14:sparkline>
              <xm:f>'Physical data'!C88:L88</xm:f>
              <xm:sqref>N88</xm:sqref>
            </x14:sparkline>
            <x14:sparkline>
              <xm:f>'Physical data'!C89:L89</xm:f>
              <xm:sqref>N89</xm:sqref>
            </x14:sparkline>
            <x14:sparkline>
              <xm:f>'Physical data'!C90:L90</xm:f>
              <xm:sqref>N90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data'!C93:M93</xm:f>
              <xm:sqref>N93</xm:sqref>
            </x14:sparkline>
            <x14:sparkline>
              <xm:f>'Physical data'!C94:M94</xm:f>
              <xm:sqref>N94</xm:sqref>
            </x14:sparkline>
            <x14:sparkline>
              <xm:f>'Physical data'!C95:M95</xm:f>
              <xm:sqref>N95</xm:sqref>
            </x14:sparkline>
            <x14:sparkline>
              <xm:f>'Physical data'!C96:M96</xm:f>
              <xm:sqref>N96</xm:sqref>
            </x14:sparkline>
            <x14:sparkline>
              <xm:f>'Physical data'!C97:M97</xm:f>
              <xm:sqref>N97</xm:sqref>
            </x14:sparkline>
            <x14:sparkline>
              <xm:f>'Physical data'!C98:M98</xm:f>
              <xm:sqref>N98</xm:sqref>
            </x14:sparkline>
            <x14:sparkline>
              <xm:f>'Physical data'!C99:M99</xm:f>
              <xm:sqref>N99</xm:sqref>
            </x14:sparkline>
            <x14:sparkline>
              <xm:f>'Physical data'!C100:M100</xm:f>
              <xm:sqref>N100</xm:sqref>
            </x14:sparkline>
            <x14:sparkline>
              <xm:f>'Physical data'!C101:M101</xm:f>
              <xm:sqref>N101</xm:sqref>
            </x14:sparkline>
            <x14:sparkline>
              <xm:f>'Physical data'!C102:M102</xm:f>
              <xm:sqref>N102</xm:sqref>
            </x14:sparkline>
            <x14:sparkline>
              <xm:f>'Physical data'!C103:M103</xm:f>
              <xm:sqref>N103</xm:sqref>
            </x14:sparkline>
            <x14:sparkline>
              <xm:f>'Physical data'!C104:M104</xm:f>
              <xm:sqref>N104</xm:sqref>
            </x14:sparkline>
            <x14:sparkline>
              <xm:f>'Physical data'!C105:M105</xm:f>
              <xm:sqref>N105</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data'!C108:M108</xm:f>
              <xm:sqref>N108</xm:sqref>
            </x14:sparkline>
            <x14:sparkline>
              <xm:f>'Physical data'!C109:M109</xm:f>
              <xm:sqref>N109</xm:sqref>
            </x14:sparkline>
            <x14:sparkline>
              <xm:f>'Physical data'!C110:M110</xm:f>
              <xm:sqref>N110</xm:sqref>
            </x14:sparkline>
            <x14:sparkline>
              <xm:f>'Physical data'!C111:M111</xm:f>
              <xm:sqref>N111</xm:sqref>
            </x14:sparkline>
            <x14:sparkline>
              <xm:f>'Physical data'!C112:M112</xm:f>
              <xm:sqref>N112</xm:sqref>
            </x14:sparkline>
            <x14:sparkline>
              <xm:f>'Physical data'!C113:M113</xm:f>
              <xm:sqref>N113</xm:sqref>
            </x14:sparkline>
            <x14:sparkline>
              <xm:f>'Physical data'!C114:M114</xm:f>
              <xm:sqref>N114</xm:sqref>
            </x14:sparkline>
            <x14:sparkline>
              <xm:f>'Physical data'!C115:M115</xm:f>
              <xm:sqref>N115</xm:sqref>
            </x14:sparkline>
            <x14:sparkline>
              <xm:f>'Physical data'!C116:M116</xm:f>
              <xm:sqref>N116</xm:sqref>
            </x14:sparkline>
            <x14:sparkline>
              <xm:f>'Physical data'!C117:M117</xm:f>
              <xm:sqref>N117</xm:sqref>
            </x14:sparkline>
            <x14:sparkline>
              <xm:f>'Physical data'!C118:M118</xm:f>
              <xm:sqref>N118</xm:sqref>
            </x14:sparkline>
            <x14:sparkline>
              <xm:f>'Physical data'!C119:M119</xm:f>
              <xm:sqref>N119</xm:sqref>
            </x14:sparkline>
            <x14:sparkline>
              <xm:f>'Physical data'!C120:M120</xm:f>
              <xm:sqref>N120</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'Physical data'!C123:M123</xm:f>
              <xm:sqref>N123</xm:sqref>
            </x14:sparkline>
            <x14:sparkline>
              <xm:f>'Physical data'!C124:M124</xm:f>
              <xm:sqref>N124</xm:sqref>
            </x14:sparkline>
            <x14:sparkline>
              <xm:f>'Physical data'!C125:M125</xm:f>
              <xm:sqref>N125</xm:sqref>
            </x14:sparkline>
            <x14:sparkline>
              <xm:f>'Physical data'!C126:M126</xm:f>
              <xm:sqref>N126</xm:sqref>
            </x14:sparkline>
            <x14:sparkline>
              <xm:f>'Physical data'!C127:M127</xm:f>
              <xm:sqref>N127</xm:sqref>
            </x14:sparkline>
            <x14:sparkline>
              <xm:f>'Physical data'!C128:M128</xm:f>
              <xm:sqref>N128</xm:sqref>
            </x14:sparkline>
            <x14:sparkline>
              <xm:f>'Physical data'!C129:M129</xm:f>
              <xm:sqref>N129</xm:sqref>
            </x14:sparkline>
            <x14:sparkline>
              <xm:f>'Physical data'!C130:M130</xm:f>
              <xm:sqref>N130</xm:sqref>
            </x14:sparkline>
            <x14:sparkline>
              <xm:f>'Physical data'!C131:M131</xm:f>
              <xm:sqref>N131</xm:sqref>
            </x14:sparkline>
            <x14:sparkline>
              <xm:f>'Physical data'!C132:M132</xm:f>
              <xm:sqref>N132</xm:sqref>
            </x14:sparkline>
            <x14:sparkline>
              <xm:f>'Physical data'!C133:M133</xm:f>
              <xm:sqref>N133</xm:sqref>
            </x14:sparkline>
            <x14:sparkline>
              <xm:f>'Physical data'!C134:M134</xm:f>
              <xm:sqref>N134</xm:sqref>
            </x14:sparkline>
            <x14:sparkline>
              <xm:f>'Physical data'!C135:M135</xm:f>
              <xm:sqref>N135</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85"/>
  <sheetViews>
    <sheetView topLeftCell="B55" workbookViewId="0">
      <selection activeCell="A79" sqref="A79:M85"/>
    </sheetView>
  </sheetViews>
  <sheetFormatPr defaultRowHeight="15"/>
  <cols>
    <col min="3" max="13" width="12.7109375" customWidth="1"/>
  </cols>
  <sheetData>
    <row r="3" spans="1:12">
      <c r="B3" s="2"/>
      <c r="E3" s="28"/>
      <c r="F3" s="28"/>
      <c r="G3" s="28"/>
      <c r="H3" s="28"/>
      <c r="I3" s="24"/>
      <c r="J3" s="24"/>
      <c r="L3" s="24"/>
    </row>
    <row r="4" spans="1:12">
      <c r="A4" s="2"/>
      <c r="B4" s="2"/>
      <c r="C4" s="59" t="s">
        <v>85</v>
      </c>
      <c r="D4" s="59" t="s">
        <v>33</v>
      </c>
      <c r="E4" s="59" t="s">
        <v>84</v>
      </c>
      <c r="F4" s="28"/>
      <c r="G4" s="2"/>
      <c r="H4" s="59"/>
      <c r="I4" s="2"/>
      <c r="J4" s="2"/>
      <c r="K4" s="2"/>
      <c r="L4" s="2"/>
    </row>
    <row r="5" spans="1:12" ht="45">
      <c r="A5" s="2"/>
      <c r="B5" s="2"/>
      <c r="C5" s="59" t="s">
        <v>53</v>
      </c>
      <c r="D5" s="59" t="s">
        <v>80</v>
      </c>
      <c r="E5" s="59" t="s">
        <v>112</v>
      </c>
      <c r="F5" s="28"/>
      <c r="H5" s="24"/>
      <c r="K5" s="2"/>
      <c r="L5" s="2"/>
    </row>
    <row r="6" spans="1:12">
      <c r="B6" s="27" t="s">
        <v>58</v>
      </c>
      <c r="C6" s="24">
        <f t="shared" ref="C6:C11" si="0">E6/D6</f>
        <v>44.032043856129668</v>
      </c>
      <c r="D6" s="28">
        <f>Analysis!H3</f>
        <v>4069.5975999999996</v>
      </c>
      <c r="E6" s="28">
        <f>Analysis!J3</f>
        <v>179192.7</v>
      </c>
      <c r="F6" s="28"/>
      <c r="H6" s="24"/>
      <c r="K6" s="2"/>
      <c r="L6" s="2"/>
    </row>
    <row r="7" spans="1:12">
      <c r="B7" s="27" t="s">
        <v>220</v>
      </c>
      <c r="C7" s="24">
        <f t="shared" si="0"/>
        <v>13.976465463775886</v>
      </c>
      <c r="D7" s="28">
        <f>Analysis!H4+Analysis!H6+Analysis!H9</f>
        <v>246642.94814197524</v>
      </c>
      <c r="E7" s="28">
        <f>Analysis!J4+Analysis!J6+Analysis!J9</f>
        <v>3447196.646590184</v>
      </c>
      <c r="F7" s="28"/>
      <c r="H7" s="24"/>
      <c r="K7" s="2"/>
      <c r="L7" s="2"/>
    </row>
    <row r="8" spans="1:12">
      <c r="B8" s="27" t="s">
        <v>221</v>
      </c>
      <c r="C8" s="24">
        <f t="shared" si="0"/>
        <v>11.403413900594611</v>
      </c>
      <c r="D8" s="28">
        <f>Analysis!H8+Analysis!H7</f>
        <v>184121.02010000002</v>
      </c>
      <c r="E8" s="28">
        <f>Analysis!J8+Analysis!J7</f>
        <v>2099608.2000000002</v>
      </c>
      <c r="F8" s="28"/>
      <c r="H8" s="24"/>
      <c r="K8" s="2"/>
      <c r="L8" s="2"/>
    </row>
    <row r="9" spans="1:12">
      <c r="B9" s="27" t="s">
        <v>222</v>
      </c>
      <c r="C9" s="24">
        <f t="shared" si="0"/>
        <v>10.470859357299215</v>
      </c>
      <c r="D9" s="28">
        <f>Analysis!H12</f>
        <v>81297.453337160172</v>
      </c>
      <c r="E9" s="28">
        <f>Analysis!J12</f>
        <v>851254.2</v>
      </c>
      <c r="F9" s="28"/>
      <c r="H9" s="24"/>
      <c r="K9" s="2"/>
      <c r="L9" s="2"/>
    </row>
    <row r="10" spans="1:12">
      <c r="B10" s="27" t="s">
        <v>223</v>
      </c>
      <c r="C10" s="24">
        <f t="shared" si="0"/>
        <v>13.829330883742543</v>
      </c>
      <c r="D10" s="28">
        <f>Analysis!H14</f>
        <v>20353.754087329002</v>
      </c>
      <c r="E10" s="28">
        <f>Analysis!J14</f>
        <v>281478.8</v>
      </c>
      <c r="F10" s="28"/>
      <c r="H10" s="24"/>
      <c r="K10" s="2"/>
    </row>
    <row r="11" spans="1:12">
      <c r="B11" s="27" t="s">
        <v>224</v>
      </c>
      <c r="C11" s="24">
        <f t="shared" si="0"/>
        <v>22.461228220412341</v>
      </c>
      <c r="D11" s="28">
        <f>Analysis!H15+Analysis!H13+Analysis!H11+Analysis!H10+Analysis!H5</f>
        <v>123104.80002853452</v>
      </c>
      <c r="E11" s="28">
        <f>Analysis!J15+Analysis!J13+Analysis!J11+Analysis!J10+Analysis!J5</f>
        <v>2765085.0084691374</v>
      </c>
      <c r="F11" s="28"/>
      <c r="H11" s="24"/>
      <c r="K11" s="2"/>
    </row>
    <row r="12" spans="1:12">
      <c r="B12" s="2"/>
      <c r="C12" s="28"/>
      <c r="D12" s="28"/>
      <c r="E12" s="28"/>
      <c r="F12" s="28"/>
      <c r="G12" s="28"/>
      <c r="H12" s="28"/>
      <c r="I12" s="24"/>
      <c r="J12" s="24"/>
      <c r="K12" s="28"/>
      <c r="L12" s="24"/>
    </row>
    <row r="13" spans="1:12">
      <c r="B13" s="2"/>
      <c r="C13" s="28"/>
      <c r="D13" s="28"/>
      <c r="E13" s="28"/>
      <c r="F13" s="28"/>
      <c r="G13" s="28"/>
      <c r="H13" s="28"/>
      <c r="I13" s="24"/>
      <c r="J13" s="24"/>
      <c r="K13" s="28"/>
      <c r="L13" s="24"/>
    </row>
    <row r="14" spans="1:12">
      <c r="B14" s="2"/>
      <c r="C14" s="28"/>
      <c r="D14" s="28"/>
      <c r="E14" s="28"/>
      <c r="F14" s="28"/>
      <c r="G14" s="28"/>
      <c r="H14" s="28"/>
      <c r="I14" s="24"/>
      <c r="J14" s="24"/>
      <c r="K14" s="28"/>
      <c r="L14" s="24"/>
    </row>
    <row r="15" spans="1:12">
      <c r="B15" s="2"/>
      <c r="C15" s="28"/>
      <c r="D15" s="28"/>
      <c r="E15" s="28"/>
      <c r="F15" s="28"/>
      <c r="G15" s="28"/>
      <c r="H15" s="28"/>
      <c r="I15" s="24"/>
      <c r="J15" s="24"/>
      <c r="K15" s="28"/>
      <c r="L15" s="24"/>
    </row>
    <row r="16" spans="1:12">
      <c r="B16" s="2"/>
      <c r="C16" s="28"/>
      <c r="D16" s="28"/>
      <c r="E16" s="28"/>
      <c r="F16" s="28"/>
      <c r="G16" s="28"/>
      <c r="H16" s="28"/>
      <c r="I16" s="24"/>
      <c r="J16" s="24"/>
      <c r="K16" s="28"/>
      <c r="L16" s="24"/>
    </row>
    <row r="17" spans="1:28">
      <c r="B17" s="2"/>
      <c r="C17" s="28"/>
      <c r="D17" s="28"/>
      <c r="E17" s="28"/>
      <c r="F17" s="28"/>
      <c r="G17" s="28"/>
      <c r="H17" s="28"/>
      <c r="I17" s="28"/>
      <c r="J17" s="28"/>
      <c r="K17" s="28"/>
      <c r="L17" s="28"/>
    </row>
    <row r="18" spans="1:28">
      <c r="B18" s="2"/>
      <c r="E18" s="28"/>
      <c r="F18" s="2"/>
      <c r="G18" s="2"/>
      <c r="I18" s="2"/>
      <c r="L18" s="2"/>
    </row>
    <row r="19" spans="1:28">
      <c r="B19" s="2"/>
      <c r="E19" s="28"/>
      <c r="F19" s="2"/>
      <c r="G19" s="2"/>
      <c r="I19" s="2"/>
      <c r="L19" s="2"/>
    </row>
    <row r="20" spans="1:28">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28">
      <c r="A21" s="23" t="s">
        <v>161</v>
      </c>
      <c r="B21" s="2"/>
      <c r="C21" s="2">
        <v>2006</v>
      </c>
      <c r="D21" s="2">
        <v>2007</v>
      </c>
      <c r="E21" s="2">
        <v>2008</v>
      </c>
      <c r="F21" s="2">
        <v>2009</v>
      </c>
      <c r="G21" s="2">
        <v>2010</v>
      </c>
      <c r="H21" s="2">
        <v>2011</v>
      </c>
      <c r="I21" s="2">
        <v>2012</v>
      </c>
      <c r="J21" s="2">
        <v>2013</v>
      </c>
      <c r="K21" s="2">
        <v>2014</v>
      </c>
      <c r="L21" s="2">
        <v>2015</v>
      </c>
      <c r="M21" s="2">
        <v>2016</v>
      </c>
      <c r="N21" s="2"/>
      <c r="O21" s="2"/>
      <c r="P21" s="2"/>
      <c r="Q21" s="2"/>
      <c r="R21" s="2"/>
      <c r="S21" s="2"/>
      <c r="T21" s="2"/>
      <c r="U21" s="2"/>
      <c r="V21" s="2"/>
      <c r="W21" s="2"/>
      <c r="X21" s="2"/>
      <c r="Y21" s="2"/>
      <c r="Z21" s="2"/>
      <c r="AA21" s="2"/>
      <c r="AB21" s="2"/>
    </row>
    <row r="22" spans="1:28">
      <c r="A22" s="27" t="s">
        <v>58</v>
      </c>
      <c r="B22" s="2" t="s">
        <v>30</v>
      </c>
      <c r="C22" s="24">
        <f>'Total cost'!C6</f>
        <v>102798.95878471776</v>
      </c>
      <c r="D22" s="24">
        <f>'Total cost'!D6</f>
        <v>104129.64122218679</v>
      </c>
      <c r="E22" s="24">
        <f>'Total cost'!E6</f>
        <v>108695.79810108652</v>
      </c>
      <c r="F22" s="24">
        <f>'Total cost'!F6</f>
        <v>111232.13987443749</v>
      </c>
      <c r="G22" s="24">
        <f>'Total cost'!G6</f>
        <v>120159.21066397434</v>
      </c>
      <c r="H22" s="24">
        <f>'Total cost'!H6</f>
        <v>131199.99840208696</v>
      </c>
      <c r="I22" s="24">
        <f>'Total cost'!I6</f>
        <v>140145.64825663954</v>
      </c>
      <c r="J22" s="24">
        <f>'Total cost'!J6</f>
        <v>151528.23871564976</v>
      </c>
      <c r="K22" s="24">
        <f>'Total cost'!K6</f>
        <v>165592.82495455042</v>
      </c>
      <c r="L22" s="24">
        <f>'Total cost'!L6</f>
        <v>173661.19068938887</v>
      </c>
      <c r="M22" s="24">
        <f>'Total cost'!M6</f>
        <v>144252.4027984447</v>
      </c>
      <c r="N22" s="2"/>
      <c r="O22" s="2"/>
      <c r="P22" s="2"/>
      <c r="Q22" s="2"/>
      <c r="R22" s="2"/>
      <c r="S22" s="2"/>
      <c r="T22" s="2"/>
      <c r="U22" s="2"/>
      <c r="V22" s="2"/>
      <c r="W22" s="2"/>
      <c r="X22" s="2"/>
      <c r="Y22" s="2"/>
      <c r="Z22" s="2"/>
      <c r="AA22" s="2"/>
      <c r="AB22" s="2"/>
    </row>
    <row r="23" spans="1:28">
      <c r="A23" s="27" t="s">
        <v>220</v>
      </c>
      <c r="B23" s="2" t="s">
        <v>30</v>
      </c>
      <c r="C23" s="24">
        <f>'Total cost'!C12+'Total cost'!C7+'Total cost'!C9</f>
        <v>2075173.6264119251</v>
      </c>
      <c r="D23" s="24">
        <f>'Total cost'!D12+'Total cost'!D7+'Total cost'!D9</f>
        <v>2171727.9563817051</v>
      </c>
      <c r="E23" s="24">
        <f>'Total cost'!E12+'Total cost'!E7+'Total cost'!E9</f>
        <v>2580511.8017146415</v>
      </c>
      <c r="F23" s="24">
        <f>'Total cost'!F12+'Total cost'!F7+'Total cost'!F9</f>
        <v>2605629.1478039818</v>
      </c>
      <c r="G23" s="24">
        <f>'Total cost'!G12+'Total cost'!G7+'Total cost'!G9</f>
        <v>2831063.1649612929</v>
      </c>
      <c r="H23" s="24">
        <f>'Total cost'!H12+'Total cost'!H7+'Total cost'!H9</f>
        <v>2948492.7769317753</v>
      </c>
      <c r="I23" s="24">
        <f>'Total cost'!I12+'Total cost'!I7+'Total cost'!I9</f>
        <v>3225787.4768705508</v>
      </c>
      <c r="J23" s="24">
        <f>'Total cost'!J12+'Total cost'!J7+'Total cost'!J9</f>
        <v>3211128.6584278387</v>
      </c>
      <c r="K23" s="24">
        <f>'Total cost'!K12+'Total cost'!K7+'Total cost'!K9</f>
        <v>3341598.0824702843</v>
      </c>
      <c r="L23" s="24">
        <f>'Total cost'!L12+'Total cost'!L7+'Total cost'!L9</f>
        <v>3406457.4639268229</v>
      </c>
      <c r="M23" s="24">
        <f>'Total cost'!M12+'Total cost'!M7+'Total cost'!M9</f>
        <v>3358412.3861222044</v>
      </c>
      <c r="N23" s="2"/>
      <c r="O23" s="2"/>
      <c r="P23" s="2"/>
      <c r="Q23" s="2"/>
      <c r="R23" s="2"/>
      <c r="S23" s="2"/>
      <c r="T23" s="2"/>
      <c r="U23" s="2"/>
      <c r="V23" s="2"/>
      <c r="W23" s="2"/>
      <c r="X23" s="2"/>
      <c r="Y23" s="2"/>
      <c r="Z23" s="2"/>
      <c r="AA23" s="2"/>
      <c r="AB23" s="2"/>
    </row>
    <row r="24" spans="1:28">
      <c r="A24" s="27" t="s">
        <v>221</v>
      </c>
      <c r="B24" s="2" t="s">
        <v>30</v>
      </c>
      <c r="C24" s="24">
        <f>'Total cost'!C11+'Total cost'!C10</f>
        <v>1504393.4025618746</v>
      </c>
      <c r="D24" s="24">
        <f>'Total cost'!D11+'Total cost'!D10</f>
        <v>1580560.1090089043</v>
      </c>
      <c r="E24" s="24">
        <f>'Total cost'!E11+'Total cost'!E10</f>
        <v>1651198.3034556576</v>
      </c>
      <c r="F24" s="24">
        <f>'Total cost'!F11+'Total cost'!F10</f>
        <v>1674962.2764373594</v>
      </c>
      <c r="G24" s="24">
        <f>'Total cost'!G11+'Total cost'!G10</f>
        <v>1736487.0665186311</v>
      </c>
      <c r="H24" s="24">
        <f>'Total cost'!H11+'Total cost'!H10</f>
        <v>1898409.2158705473</v>
      </c>
      <c r="I24" s="24">
        <f>'Total cost'!I11+'Total cost'!I10</f>
        <v>1989880.1623619529</v>
      </c>
      <c r="J24" s="24">
        <f>'Total cost'!J11+'Total cost'!J10</f>
        <v>1983738.7385379844</v>
      </c>
      <c r="K24" s="24">
        <f>'Total cost'!K11+'Total cost'!K10</f>
        <v>2000284.0721719225</v>
      </c>
      <c r="L24" s="24">
        <f>'Total cost'!L11+'Total cost'!L10</f>
        <v>2055412.5078756013</v>
      </c>
      <c r="M24" s="24">
        <f>'Total cost'!M11+'Total cost'!M10</f>
        <v>2006509.8408230995</v>
      </c>
      <c r="N24" s="2"/>
      <c r="O24" s="2"/>
      <c r="P24" s="2"/>
      <c r="Q24" s="2"/>
      <c r="R24" s="2"/>
      <c r="S24" s="2"/>
      <c r="T24" s="2"/>
      <c r="U24" s="2"/>
      <c r="V24" s="2"/>
      <c r="W24" s="2"/>
      <c r="X24" s="2"/>
      <c r="Y24" s="2"/>
      <c r="Z24" s="2"/>
      <c r="AA24" s="2"/>
      <c r="AB24" s="2"/>
    </row>
    <row r="25" spans="1:28">
      <c r="A25" s="27" t="s">
        <v>222</v>
      </c>
      <c r="B25" s="2" t="s">
        <v>30</v>
      </c>
      <c r="C25" s="24">
        <f>'Total cost'!C15</f>
        <v>459889.9525534772</v>
      </c>
      <c r="D25" s="24">
        <f>'Total cost'!D15</f>
        <v>460680.16798954632</v>
      </c>
      <c r="E25" s="24">
        <f>'Total cost'!E15</f>
        <v>481579.2361448548</v>
      </c>
      <c r="F25" s="24">
        <f>'Total cost'!F15</f>
        <v>502939.7978627666</v>
      </c>
      <c r="G25" s="24">
        <f>'Total cost'!G15</f>
        <v>514170.71196991688</v>
      </c>
      <c r="H25" s="24">
        <f>'Total cost'!H15</f>
        <v>537397.33600035124</v>
      </c>
      <c r="I25" s="24">
        <f>'Total cost'!I15</f>
        <v>557284.94617532636</v>
      </c>
      <c r="J25" s="24">
        <f>'Total cost'!J15</f>
        <v>595700.87745009619</v>
      </c>
      <c r="K25" s="24">
        <f>'Total cost'!K15</f>
        <v>618899.90669926594</v>
      </c>
      <c r="L25" s="24">
        <f>'Total cost'!L15</f>
        <v>650271.98125548253</v>
      </c>
      <c r="M25" s="24">
        <f>'Total cost'!M15</f>
        <v>570877.63938397705</v>
      </c>
      <c r="N25" s="2"/>
      <c r="O25" s="2"/>
      <c r="P25" s="2"/>
      <c r="Q25" s="2"/>
      <c r="R25" s="2"/>
      <c r="S25" s="2"/>
      <c r="T25" s="2"/>
      <c r="U25" s="2"/>
      <c r="V25" s="2"/>
      <c r="W25" s="2"/>
      <c r="X25" s="2"/>
      <c r="Y25" s="2"/>
      <c r="Z25" s="2"/>
      <c r="AA25" s="2"/>
      <c r="AB25" s="2"/>
    </row>
    <row r="26" spans="1:28">
      <c r="A26" s="27" t="s">
        <v>223</v>
      </c>
      <c r="B26" s="2" t="s">
        <v>30</v>
      </c>
      <c r="C26" s="24">
        <f>'Total cost'!C17</f>
        <v>164545.27061030519</v>
      </c>
      <c r="D26" s="24">
        <f>'Total cost'!D17</f>
        <v>175104.05772298749</v>
      </c>
      <c r="E26" s="24">
        <f>'Total cost'!E17</f>
        <v>177808.86793442944</v>
      </c>
      <c r="F26" s="24">
        <f>'Total cost'!F17</f>
        <v>179335.59806749615</v>
      </c>
      <c r="G26" s="24">
        <f>'Total cost'!G17</f>
        <v>205268.54832544349</v>
      </c>
      <c r="H26" s="24">
        <f>'Total cost'!H17</f>
        <v>213169.17696052566</v>
      </c>
      <c r="I26" s="24">
        <f>'Total cost'!I17</f>
        <v>228256.36285437644</v>
      </c>
      <c r="J26" s="24">
        <f>'Total cost'!J17</f>
        <v>214231.59656674782</v>
      </c>
      <c r="K26" s="24">
        <f>'Total cost'!K17</f>
        <v>217707.40739866986</v>
      </c>
      <c r="L26" s="24">
        <f>'Total cost'!L17</f>
        <v>211343.21894520434</v>
      </c>
      <c r="M26" s="24">
        <f>'Total cost'!M17</f>
        <v>218400.51927936004</v>
      </c>
      <c r="N26" s="2"/>
      <c r="O26" s="2"/>
      <c r="P26" s="2"/>
      <c r="Q26" s="2"/>
      <c r="R26" s="2"/>
      <c r="S26" s="2"/>
      <c r="T26" s="2"/>
      <c r="U26" s="2"/>
      <c r="V26" s="2"/>
      <c r="W26" s="2"/>
      <c r="X26" s="2"/>
      <c r="Y26" s="2"/>
      <c r="Z26" s="2"/>
      <c r="AA26" s="2"/>
      <c r="AB26" s="2"/>
    </row>
    <row r="27" spans="1:28">
      <c r="A27" s="27" t="s">
        <v>224</v>
      </c>
      <c r="B27" s="2" t="s">
        <v>30</v>
      </c>
      <c r="C27" s="24">
        <f>'Total cost'!C18+'Total cost'!C16+'Total cost'!C14+'Total cost'!C13+'Total cost'!C8</f>
        <v>1096880.326659075</v>
      </c>
      <c r="D27" s="24">
        <f>'Total cost'!D18+'Total cost'!D16+'Total cost'!D14+'Total cost'!D13+'Total cost'!D8</f>
        <v>1144136.5395745691</v>
      </c>
      <c r="E27" s="24">
        <f>'Total cost'!E18+'Total cost'!E16+'Total cost'!E14+'Total cost'!E13+'Total cost'!E8</f>
        <v>1151327.256192757</v>
      </c>
      <c r="F27" s="24">
        <f>'Total cost'!F18+'Total cost'!F16+'Total cost'!F14+'Total cost'!F13+'Total cost'!F8</f>
        <v>1240681.6027098426</v>
      </c>
      <c r="G27" s="24">
        <f>'Total cost'!G18+'Total cost'!G16+'Total cost'!G14+'Total cost'!G13+'Total cost'!G8</f>
        <v>1273486.2041131118</v>
      </c>
      <c r="H27" s="24">
        <f>'Total cost'!H18+'Total cost'!H16+'Total cost'!H14+'Total cost'!H13+'Total cost'!H8</f>
        <v>1322956.3148776863</v>
      </c>
      <c r="I27" s="24">
        <f>'Total cost'!I18+'Total cost'!I16+'Total cost'!I14+'Total cost'!I13+'Total cost'!I8</f>
        <v>1445561.3740585195</v>
      </c>
      <c r="J27" s="24">
        <f>'Total cost'!J18+'Total cost'!J16+'Total cost'!J14+'Total cost'!J13+'Total cost'!J8</f>
        <v>1534358.7725973325</v>
      </c>
      <c r="K27" s="24">
        <f>'Total cost'!K18+'Total cost'!K16+'Total cost'!K14+'Total cost'!K13+'Total cost'!K8</f>
        <v>1564070.343936984</v>
      </c>
      <c r="L27" s="24">
        <f>'Total cost'!L18+'Total cost'!L16+'Total cost'!L14+'Total cost'!L13+'Total cost'!L8</f>
        <v>1645760.3779162259</v>
      </c>
      <c r="M27" s="24">
        <f>'Total cost'!M18+'Total cost'!M16+'Total cost'!M14+'Total cost'!M13+'Total cost'!M8</f>
        <v>1792369.6766614988</v>
      </c>
      <c r="N27" s="2"/>
      <c r="O27" s="2"/>
      <c r="P27" s="2"/>
      <c r="Q27" s="2"/>
      <c r="R27" s="2"/>
      <c r="S27" s="2"/>
      <c r="T27" s="2"/>
      <c r="U27" s="2"/>
      <c r="V27" s="2"/>
      <c r="W27" s="2"/>
      <c r="X27" s="2"/>
      <c r="Y27" s="2"/>
      <c r="Z27" s="2"/>
      <c r="AA27" s="2"/>
      <c r="AB27" s="2"/>
    </row>
    <row r="28" spans="1:28">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c r="A30" s="2" t="s">
        <v>225</v>
      </c>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c r="A31" s="27" t="s">
        <v>58</v>
      </c>
      <c r="B31" s="2" t="s">
        <v>84</v>
      </c>
      <c r="C31" s="24">
        <f>'Physical data'!C18</f>
        <v>154510</v>
      </c>
      <c r="D31" s="24">
        <f>'Physical data'!D18</f>
        <v>156360</v>
      </c>
      <c r="E31" s="24">
        <f>'Physical data'!E18</f>
        <v>158455</v>
      </c>
      <c r="F31" s="24">
        <f>'Physical data'!F18</f>
        <v>161092</v>
      </c>
      <c r="G31" s="24">
        <f>'Physical data'!G18</f>
        <v>164900</v>
      </c>
      <c r="H31" s="24">
        <f>'Physical data'!H18</f>
        <v>168937</v>
      </c>
      <c r="I31" s="24">
        <f>'Physical data'!I18</f>
        <v>173186</v>
      </c>
      <c r="J31" s="24">
        <f>'Physical data'!J18</f>
        <v>177255</v>
      </c>
      <c r="K31" s="24">
        <f>'Physical data'!K18</f>
        <v>178710</v>
      </c>
      <c r="L31" s="24">
        <f>'Physical data'!L18</f>
        <v>181851</v>
      </c>
      <c r="M31" s="24">
        <f>'Physical data'!M18</f>
        <v>184961.5</v>
      </c>
      <c r="N31" s="2"/>
      <c r="O31" s="2"/>
      <c r="P31" s="2"/>
      <c r="Q31" s="2"/>
      <c r="R31" s="2"/>
      <c r="S31" s="2"/>
      <c r="T31" s="2"/>
      <c r="U31" s="2"/>
      <c r="V31" s="2"/>
      <c r="W31" s="2"/>
      <c r="X31" s="2"/>
      <c r="Y31" s="2"/>
      <c r="Z31" s="2"/>
      <c r="AA31" s="2"/>
      <c r="AB31" s="2"/>
    </row>
    <row r="32" spans="1:28">
      <c r="A32" s="27" t="s">
        <v>220</v>
      </c>
      <c r="B32" s="2" t="s">
        <v>84</v>
      </c>
      <c r="C32" s="24">
        <f>'Physical data'!C19+'Physical data'!C21+'Physical data'!C24</f>
        <v>3194770.793301953</v>
      </c>
      <c r="D32" s="24">
        <f>'Physical data'!D19+'Physical data'!D21+'Physical data'!D24</f>
        <v>3226526.3052992523</v>
      </c>
      <c r="E32" s="24">
        <f>'Physical data'!E19+'Physical data'!E21+'Physical data'!E24</f>
        <v>3258837.5367964176</v>
      </c>
      <c r="F32" s="24">
        <f>'Physical data'!F19+'Physical data'!F21+'Physical data'!F24</f>
        <v>3286328.2077966202</v>
      </c>
      <c r="G32" s="24">
        <f>'Physical data'!G19+'Physical data'!G21+'Physical data'!G24</f>
        <v>3308176.7927215537</v>
      </c>
      <c r="H32" s="24">
        <f>'Physical data'!H19+'Physical data'!H21+'Physical data'!H24</f>
        <v>3338238.7698001973</v>
      </c>
      <c r="I32" s="24">
        <f>'Physical data'!I19+'Physical data'!I21+'Physical data'!I24</f>
        <v>3363790.1883934513</v>
      </c>
      <c r="J32" s="24">
        <f>'Physical data'!J19+'Physical data'!J21+'Physical data'!J24</f>
        <v>3398681.3238990037</v>
      </c>
      <c r="K32" s="24">
        <f>'Physical data'!K19+'Physical data'!K21+'Physical data'!K24</f>
        <v>3445419</v>
      </c>
      <c r="L32" s="24">
        <f>'Physical data'!L19+'Physical data'!L21+'Physical data'!L24</f>
        <v>3492392</v>
      </c>
      <c r="M32" s="24">
        <f>'Physical data'!M19+'Physical data'!M21+'Physical data'!M24</f>
        <v>3535700.7206584653</v>
      </c>
      <c r="N32" s="2"/>
      <c r="O32" s="2"/>
      <c r="P32" s="2"/>
      <c r="Q32" s="2"/>
      <c r="R32" s="2"/>
      <c r="S32" s="2"/>
      <c r="T32" s="2"/>
      <c r="U32" s="2"/>
      <c r="V32" s="2"/>
      <c r="W32" s="2"/>
      <c r="X32" s="2"/>
      <c r="Y32" s="2"/>
      <c r="Z32" s="2"/>
      <c r="AA32" s="2"/>
      <c r="AB32" s="2"/>
    </row>
    <row r="33" spans="1:28">
      <c r="A33" s="27" t="s">
        <v>221</v>
      </c>
      <c r="B33" s="2" t="s">
        <v>84</v>
      </c>
      <c r="C33" s="24">
        <f>'Physical data'!C23+'Physical data'!C22</f>
        <v>1836193.5623809525</v>
      </c>
      <c r="D33" s="24">
        <f>'Physical data'!D23+'Physical data'!D22</f>
        <v>1871223.9766666668</v>
      </c>
      <c r="E33" s="24">
        <f>'Physical data'!E23+'Physical data'!E22</f>
        <v>1911491.9433333334</v>
      </c>
      <c r="F33" s="24">
        <f>'Physical data'!F23+'Physical data'!F22</f>
        <v>1950651.6833333333</v>
      </c>
      <c r="G33" s="24">
        <f>'Physical data'!G23+'Physical data'!G22</f>
        <v>1984514.3333333333</v>
      </c>
      <c r="H33" s="24">
        <f>'Physical data'!H23+'Physical data'!H22</f>
        <v>2015522.5</v>
      </c>
      <c r="I33" s="24">
        <f>'Physical data'!I23+'Physical data'!I22</f>
        <v>2043128.5</v>
      </c>
      <c r="J33" s="24">
        <f>'Physical data'!J23+'Physical data'!J22</f>
        <v>2070142.5</v>
      </c>
      <c r="K33" s="24">
        <f>'Physical data'!K23+'Physical data'!K22</f>
        <v>2098413</v>
      </c>
      <c r="L33" s="24">
        <f>'Physical data'!L23+'Physical data'!L22</f>
        <v>2125481.5</v>
      </c>
      <c r="M33" s="24">
        <f>'Physical data'!M23+'Physical data'!M22</f>
        <v>2160875.5</v>
      </c>
      <c r="N33" s="2"/>
      <c r="O33" s="2"/>
      <c r="P33" s="2"/>
      <c r="Q33" s="2"/>
      <c r="R33" s="2"/>
      <c r="S33" s="2"/>
      <c r="T33" s="2"/>
      <c r="U33" s="2"/>
      <c r="V33" s="2"/>
      <c r="W33" s="2"/>
      <c r="X33" s="2"/>
      <c r="Y33" s="2"/>
      <c r="Z33" s="2"/>
      <c r="AA33" s="2"/>
      <c r="AB33" s="2"/>
    </row>
    <row r="34" spans="1:28">
      <c r="A34" s="27" t="s">
        <v>222</v>
      </c>
      <c r="B34" s="2" t="s">
        <v>84</v>
      </c>
      <c r="C34" s="24">
        <f>'Physical data'!C27</f>
        <v>778839</v>
      </c>
      <c r="D34" s="24">
        <f>'Physical data'!D27</f>
        <v>779426</v>
      </c>
      <c r="E34" s="24">
        <f>'Physical data'!E27</f>
        <v>781110</v>
      </c>
      <c r="F34" s="24">
        <f>'Physical data'!F27</f>
        <v>814467</v>
      </c>
      <c r="G34" s="24">
        <f>'Physical data'!G27</f>
        <v>826964</v>
      </c>
      <c r="H34" s="24">
        <f>'Physical data'!H27</f>
        <v>836055</v>
      </c>
      <c r="I34" s="24">
        <f>'Physical data'!I27</f>
        <v>844153</v>
      </c>
      <c r="J34" s="24">
        <f>'Physical data'!J27</f>
        <v>847766</v>
      </c>
      <c r="K34" s="24">
        <f>'Physical data'!K27</f>
        <v>851766.5</v>
      </c>
      <c r="L34" s="24">
        <f>'Physical data'!L27</f>
        <v>853939</v>
      </c>
      <c r="M34" s="24">
        <f>'Physical data'!M27</f>
        <v>858646.5</v>
      </c>
      <c r="N34" s="2"/>
      <c r="O34" s="2"/>
      <c r="P34" s="2"/>
      <c r="Q34" s="2"/>
      <c r="R34" s="2"/>
      <c r="S34" s="2"/>
      <c r="T34" s="2"/>
      <c r="U34" s="2"/>
      <c r="V34" s="2"/>
      <c r="W34" s="2"/>
      <c r="X34" s="2"/>
      <c r="Y34" s="2"/>
      <c r="Z34" s="2"/>
      <c r="AA34" s="2"/>
      <c r="AB34" s="2"/>
    </row>
    <row r="35" spans="1:28">
      <c r="A35" s="27" t="s">
        <v>223</v>
      </c>
      <c r="B35" s="2" t="s">
        <v>84</v>
      </c>
      <c r="C35" s="24">
        <f>'Physical data'!C29</f>
        <v>250642.52420131132</v>
      </c>
      <c r="D35" s="24">
        <f>'Physical data'!D29</f>
        <v>255484.38545676047</v>
      </c>
      <c r="E35" s="24">
        <f>'Physical data'!E29</f>
        <v>260424.25945125124</v>
      </c>
      <c r="F35" s="24">
        <f>'Physical data'!F29</f>
        <v>265464.13023523602</v>
      </c>
      <c r="G35" s="24">
        <f>'Physical data'!G29</f>
        <v>270606.02202186675</v>
      </c>
      <c r="H35" s="24">
        <f>'Physical data'!H29</f>
        <v>275852</v>
      </c>
      <c r="I35" s="24">
        <f>'Physical data'!I29</f>
        <v>278392</v>
      </c>
      <c r="J35" s="24">
        <f>'Physical data'!J29</f>
        <v>279868</v>
      </c>
      <c r="K35" s="24">
        <f>'Physical data'!K29</f>
        <v>280750</v>
      </c>
      <c r="L35" s="24">
        <f>'Physical data'!L29</f>
        <v>283059</v>
      </c>
      <c r="M35" s="24">
        <f>'Physical data'!M29</f>
        <v>285325</v>
      </c>
      <c r="N35" s="2"/>
      <c r="O35" s="2"/>
      <c r="P35" s="2"/>
      <c r="Q35" s="2"/>
      <c r="R35" s="2"/>
      <c r="S35" s="2"/>
      <c r="T35" s="2"/>
      <c r="U35" s="2"/>
      <c r="V35" s="2"/>
      <c r="W35" s="2"/>
      <c r="X35" s="2"/>
      <c r="Y35" s="2"/>
      <c r="Z35" s="2"/>
      <c r="AA35" s="2"/>
      <c r="AB35" s="2"/>
    </row>
    <row r="36" spans="1:28">
      <c r="A36" s="27" t="s">
        <v>224</v>
      </c>
      <c r="B36" s="2" t="s">
        <v>84</v>
      </c>
      <c r="C36" s="24">
        <f>'Physical data'!C20+'Physical data'!C28+'Physical data'!C26+'Physical data'!C25+'Physical data'!C30</f>
        <v>2470249.5154752722</v>
      </c>
      <c r="D36" s="24">
        <f>'Physical data'!D20+'Physical data'!D28+'Physical data'!D26+'Physical data'!D25+'Physical data'!D30</f>
        <v>2509726.8842807254</v>
      </c>
      <c r="E36" s="24">
        <f>'Physical data'!E20+'Physical data'!E28+'Physical data'!E26+'Physical data'!E25+'Physical data'!E30</f>
        <v>2545782.2358691012</v>
      </c>
      <c r="F36" s="24">
        <f>'Physical data'!F20+'Physical data'!F28+'Physical data'!F26+'Physical data'!F25+'Physical data'!F30</f>
        <v>2578966.0261047888</v>
      </c>
      <c r="G36" s="24">
        <f>'Physical data'!G20+'Physical data'!G28+'Physical data'!G26+'Physical data'!G25+'Physical data'!G30</f>
        <v>2614510.1593668936</v>
      </c>
      <c r="H36" s="24">
        <f>'Physical data'!H20+'Physical data'!H28+'Physical data'!H26+'Physical data'!H25+'Physical data'!H30</f>
        <v>2654853.9193332456</v>
      </c>
      <c r="I36" s="24">
        <f>'Physical data'!I20+'Physical data'!I28+'Physical data'!I26+'Physical data'!I25+'Physical data'!I30</f>
        <v>2695849.7355016307</v>
      </c>
      <c r="J36" s="24">
        <f>'Physical data'!J20+'Physical data'!J28+'Physical data'!J26+'Physical data'!J25+'Physical data'!J30</f>
        <v>2733294.232565715</v>
      </c>
      <c r="K36" s="24">
        <f>'Physical data'!K20+'Physical data'!K28+'Physical data'!K26+'Physical data'!K25+'Physical data'!K30</f>
        <v>2753233.8908080203</v>
      </c>
      <c r="L36" s="24">
        <f>'Physical data'!L20+'Physical data'!L28+'Physical data'!L26+'Physical data'!L25+'Physical data'!L30</f>
        <v>2797458.1834703204</v>
      </c>
      <c r="M36" s="24">
        <f>'Physical data'!M20+'Physical data'!M28+'Physical data'!M26+'Physical data'!M25+'Physical data'!M30</f>
        <v>2845589</v>
      </c>
      <c r="N36" s="2"/>
      <c r="O36" s="2"/>
      <c r="P36" s="2"/>
      <c r="Q36" s="2"/>
      <c r="R36" s="2"/>
      <c r="S36" s="2"/>
      <c r="T36" s="2"/>
      <c r="U36" s="2"/>
      <c r="V36" s="2"/>
      <c r="W36" s="2"/>
      <c r="X36" s="2"/>
      <c r="Y36" s="2"/>
      <c r="Z36" s="2"/>
      <c r="AA36" s="2"/>
      <c r="AB36" s="2"/>
    </row>
    <row r="37" spans="1:28">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c r="A38" s="2" t="s">
        <v>226</v>
      </c>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c r="A39" s="2"/>
      <c r="B39" s="2"/>
      <c r="C39" s="2">
        <v>2006</v>
      </c>
      <c r="D39" s="2">
        <v>2007</v>
      </c>
      <c r="E39" s="2">
        <v>2008</v>
      </c>
      <c r="F39" s="2">
        <v>2009</v>
      </c>
      <c r="G39" s="2">
        <v>2010</v>
      </c>
      <c r="H39" s="2">
        <v>2011</v>
      </c>
      <c r="I39" s="2">
        <v>2012</v>
      </c>
      <c r="J39" s="2">
        <v>2013</v>
      </c>
      <c r="K39" s="2">
        <v>2014</v>
      </c>
      <c r="L39" s="2">
        <v>2015</v>
      </c>
      <c r="M39" s="2">
        <v>2016</v>
      </c>
      <c r="N39" s="2"/>
      <c r="O39" s="2"/>
      <c r="P39" s="2"/>
      <c r="Q39" s="2"/>
      <c r="R39" s="2"/>
      <c r="S39" s="2"/>
      <c r="T39" s="2"/>
      <c r="U39" s="2"/>
      <c r="V39" s="2"/>
      <c r="W39" s="2"/>
      <c r="X39" s="2"/>
      <c r="Y39" s="2"/>
      <c r="Z39" s="2"/>
      <c r="AA39" s="2"/>
      <c r="AB39" s="2"/>
    </row>
    <row r="40" spans="1:28">
      <c r="A40" s="27" t="s">
        <v>58</v>
      </c>
      <c r="B40" s="2"/>
      <c r="C40" s="25">
        <f t="shared" ref="C40:M40" si="1">(C22*1000)/C31</f>
        <v>665.32236609098277</v>
      </c>
      <c r="D40" s="25">
        <f t="shared" si="1"/>
        <v>665.96086737136602</v>
      </c>
      <c r="E40" s="25">
        <f t="shared" si="1"/>
        <v>685.97266164580799</v>
      </c>
      <c r="F40" s="25">
        <f t="shared" si="1"/>
        <v>690.48829162489449</v>
      </c>
      <c r="G40" s="25">
        <f t="shared" si="1"/>
        <v>728.67926418419859</v>
      </c>
      <c r="H40" s="25">
        <f t="shared" si="1"/>
        <v>776.62086104338869</v>
      </c>
      <c r="I40" s="25">
        <f t="shared" si="1"/>
        <v>809.22042345593491</v>
      </c>
      <c r="J40" s="25">
        <f t="shared" si="1"/>
        <v>854.86016595102956</v>
      </c>
      <c r="K40" s="25">
        <f t="shared" si="1"/>
        <v>926.60077754210965</v>
      </c>
      <c r="L40" s="25">
        <f t="shared" si="1"/>
        <v>954.96417775755356</v>
      </c>
      <c r="M40" s="25">
        <f t="shared" si="1"/>
        <v>779.90502238814395</v>
      </c>
      <c r="N40" s="2"/>
      <c r="O40" s="2"/>
      <c r="P40" s="2"/>
      <c r="Q40" s="2"/>
      <c r="R40" s="2"/>
      <c r="S40" s="2"/>
      <c r="T40" s="2"/>
      <c r="U40" s="2"/>
      <c r="V40" s="2"/>
      <c r="W40" s="2"/>
      <c r="X40" s="2"/>
      <c r="Y40" s="2"/>
      <c r="Z40" s="2"/>
      <c r="AA40" s="2"/>
      <c r="AB40" s="2"/>
    </row>
    <row r="41" spans="1:28">
      <c r="A41" s="27" t="s">
        <v>220</v>
      </c>
      <c r="B41" s="2"/>
      <c r="C41" s="25">
        <f t="shared" ref="C41:M41" si="2">(C23*1000)/C32</f>
        <v>649.5532107538553</v>
      </c>
      <c r="D41" s="25">
        <f t="shared" si="2"/>
        <v>673.08546433198319</v>
      </c>
      <c r="E41" s="25">
        <f t="shared" si="2"/>
        <v>791.85039836364456</v>
      </c>
      <c r="F41" s="25">
        <f t="shared" si="2"/>
        <v>792.86942236088294</v>
      </c>
      <c r="G41" s="25">
        <f t="shared" si="2"/>
        <v>855.77746968965596</v>
      </c>
      <c r="H41" s="25">
        <f t="shared" si="2"/>
        <v>883.2480179685441</v>
      </c>
      <c r="I41" s="25">
        <f t="shared" si="2"/>
        <v>958.97404303066514</v>
      </c>
      <c r="J41" s="25">
        <f t="shared" si="2"/>
        <v>944.81604846199514</v>
      </c>
      <c r="K41" s="25">
        <f t="shared" si="2"/>
        <v>969.86696900153061</v>
      </c>
      <c r="L41" s="25">
        <f t="shared" si="2"/>
        <v>975.39378853428332</v>
      </c>
      <c r="M41" s="25">
        <f t="shared" si="2"/>
        <v>949.85765240242279</v>
      </c>
      <c r="N41" s="2"/>
      <c r="O41" s="2"/>
      <c r="P41" s="2"/>
      <c r="Q41" s="2"/>
      <c r="R41" s="2"/>
      <c r="S41" s="2"/>
      <c r="T41" s="2"/>
      <c r="U41" s="2"/>
      <c r="V41" s="2"/>
      <c r="W41" s="2"/>
      <c r="X41" s="2"/>
      <c r="Y41" s="2"/>
      <c r="Z41" s="2"/>
      <c r="AA41" s="2"/>
      <c r="AB41" s="2"/>
    </row>
    <row r="42" spans="1:28">
      <c r="A42" s="27" t="s">
        <v>221</v>
      </c>
      <c r="B42" s="2"/>
      <c r="C42" s="25">
        <f t="shared" ref="C42:M42" si="3">(C24*1000)/C33</f>
        <v>819.3000092055438</v>
      </c>
      <c r="D42" s="25">
        <f t="shared" si="3"/>
        <v>844.66644758606549</v>
      </c>
      <c r="E42" s="25">
        <f t="shared" si="3"/>
        <v>863.82697516173369</v>
      </c>
      <c r="F42" s="25">
        <f t="shared" si="3"/>
        <v>858.66804963105074</v>
      </c>
      <c r="G42" s="25">
        <f t="shared" si="3"/>
        <v>875.01865688311875</v>
      </c>
      <c r="H42" s="25">
        <f t="shared" si="3"/>
        <v>941.89433056219775</v>
      </c>
      <c r="I42" s="25">
        <f t="shared" si="3"/>
        <v>973.93784207011606</v>
      </c>
      <c r="J42" s="25">
        <f t="shared" si="3"/>
        <v>958.26192570703915</v>
      </c>
      <c r="K42" s="25">
        <f t="shared" si="3"/>
        <v>953.23659935957437</v>
      </c>
      <c r="L42" s="25">
        <f t="shared" si="3"/>
        <v>967.03382639444351</v>
      </c>
      <c r="M42" s="25">
        <f t="shared" si="3"/>
        <v>928.56337203281691</v>
      </c>
      <c r="N42" s="2"/>
      <c r="O42" s="2"/>
      <c r="P42" s="2"/>
      <c r="Q42" s="2"/>
      <c r="R42" s="2"/>
      <c r="S42" s="2"/>
      <c r="T42" s="2"/>
      <c r="U42" s="2"/>
      <c r="V42" s="2"/>
      <c r="W42" s="2"/>
      <c r="X42" s="2"/>
      <c r="Y42" s="2"/>
      <c r="Z42" s="2"/>
      <c r="AA42" s="2"/>
      <c r="AB42" s="2"/>
    </row>
    <row r="43" spans="1:28">
      <c r="A43" s="27" t="s">
        <v>222</v>
      </c>
      <c r="B43" s="2"/>
      <c r="C43" s="25">
        <f t="shared" ref="C43:M43" si="4">(C25*1000)/C34</f>
        <v>590.48141214484269</v>
      </c>
      <c r="D43" s="25">
        <f t="shared" si="4"/>
        <v>591.05055257272181</v>
      </c>
      <c r="E43" s="25">
        <f t="shared" si="4"/>
        <v>616.53190478275121</v>
      </c>
      <c r="F43" s="25">
        <f t="shared" si="4"/>
        <v>617.50788904003059</v>
      </c>
      <c r="G43" s="25">
        <f t="shared" si="4"/>
        <v>621.75706798593035</v>
      </c>
      <c r="H43" s="25">
        <f t="shared" si="4"/>
        <v>642.77749191183739</v>
      </c>
      <c r="I43" s="25">
        <f t="shared" si="4"/>
        <v>660.17054512076174</v>
      </c>
      <c r="J43" s="25">
        <f t="shared" si="4"/>
        <v>702.67134734124295</v>
      </c>
      <c r="K43" s="25">
        <f t="shared" si="4"/>
        <v>726.60747599167837</v>
      </c>
      <c r="L43" s="25">
        <f t="shared" si="4"/>
        <v>761.49699364413914</v>
      </c>
      <c r="M43" s="25">
        <f t="shared" si="4"/>
        <v>664.85758619405897</v>
      </c>
      <c r="N43" s="2"/>
      <c r="O43" s="2"/>
      <c r="P43" s="2"/>
      <c r="Q43" s="2"/>
      <c r="R43" s="2"/>
      <c r="S43" s="2"/>
      <c r="T43" s="2"/>
      <c r="U43" s="2"/>
      <c r="V43" s="2"/>
      <c r="W43" s="2"/>
      <c r="X43" s="2"/>
      <c r="Y43" s="2"/>
      <c r="Z43" s="2"/>
      <c r="AA43" s="2"/>
      <c r="AB43" s="2"/>
    </row>
    <row r="44" spans="1:28">
      <c r="A44" s="27" t="s">
        <v>223</v>
      </c>
      <c r="B44" s="2"/>
      <c r="C44" s="25">
        <f t="shared" ref="C44:M44" si="5">(C26*1000)/C35</f>
        <v>656.49382974672551</v>
      </c>
      <c r="D44" s="25">
        <f t="shared" si="5"/>
        <v>685.38066390997915</v>
      </c>
      <c r="E44" s="25">
        <f t="shared" si="5"/>
        <v>682.76614593854083</v>
      </c>
      <c r="F44" s="25">
        <f t="shared" si="5"/>
        <v>675.55491549303213</v>
      </c>
      <c r="G44" s="25">
        <f t="shared" si="5"/>
        <v>758.55129457856799</v>
      </c>
      <c r="H44" s="25">
        <f t="shared" si="5"/>
        <v>772.76647245815025</v>
      </c>
      <c r="I44" s="25">
        <f t="shared" si="5"/>
        <v>819.90992145742848</v>
      </c>
      <c r="J44" s="25">
        <f t="shared" si="5"/>
        <v>765.47371105931302</v>
      </c>
      <c r="K44" s="25">
        <f t="shared" si="5"/>
        <v>775.44935849926935</v>
      </c>
      <c r="L44" s="25">
        <f t="shared" si="5"/>
        <v>746.64016669741761</v>
      </c>
      <c r="M44" s="25">
        <f t="shared" si="5"/>
        <v>765.44473593046541</v>
      </c>
      <c r="N44" s="2"/>
      <c r="O44" s="2"/>
      <c r="P44" s="2"/>
      <c r="Q44" s="2"/>
      <c r="R44" s="2"/>
      <c r="S44" s="2"/>
      <c r="T44" s="2"/>
      <c r="U44" s="2"/>
      <c r="V44" s="2"/>
      <c r="W44" s="2"/>
      <c r="X44" s="2"/>
      <c r="Y44" s="2"/>
      <c r="Z44" s="2"/>
      <c r="AA44" s="2"/>
      <c r="AB44" s="2"/>
    </row>
    <row r="45" spans="1:28">
      <c r="A45" s="27" t="s">
        <v>224</v>
      </c>
      <c r="B45" s="2"/>
      <c r="C45" s="25">
        <f t="shared" ref="C45:M45" si="6">(C27*1000)/C36</f>
        <v>444.03624807433147</v>
      </c>
      <c r="D45" s="25">
        <f t="shared" si="6"/>
        <v>455.88089554313098</v>
      </c>
      <c r="E45" s="25">
        <f t="shared" si="6"/>
        <v>452.24891586208554</v>
      </c>
      <c r="F45" s="25">
        <f t="shared" si="6"/>
        <v>481.07714105243167</v>
      </c>
      <c r="G45" s="25">
        <f t="shared" si="6"/>
        <v>487.0840526477387</v>
      </c>
      <c r="H45" s="25">
        <f t="shared" si="6"/>
        <v>498.31604866980427</v>
      </c>
      <c r="I45" s="25">
        <f t="shared" si="6"/>
        <v>536.21733994366582</v>
      </c>
      <c r="J45" s="25">
        <f t="shared" si="6"/>
        <v>561.35880078927539</v>
      </c>
      <c r="K45" s="25">
        <f t="shared" si="6"/>
        <v>568.08480716397105</v>
      </c>
      <c r="L45" s="25">
        <f t="shared" si="6"/>
        <v>588.30562245424414</v>
      </c>
      <c r="M45" s="25">
        <f t="shared" si="6"/>
        <v>629.87651296849219</v>
      </c>
      <c r="N45" s="2"/>
      <c r="O45" s="2"/>
      <c r="P45" s="2"/>
      <c r="Q45" s="2"/>
      <c r="R45" s="2"/>
      <c r="S45" s="2"/>
      <c r="T45" s="2"/>
      <c r="U45" s="2"/>
      <c r="V45" s="2"/>
      <c r="W45" s="2"/>
      <c r="X45" s="2"/>
      <c r="Y45" s="2"/>
      <c r="Z45" s="2"/>
      <c r="AA45" s="2"/>
      <c r="AB45" s="2"/>
    </row>
    <row r="46" spans="1:28">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c r="A49" s="2" t="s">
        <v>227</v>
      </c>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c r="A50" s="27" t="s">
        <v>58</v>
      </c>
      <c r="B50" s="2"/>
      <c r="C50" s="24">
        <f>'Physical data'!C48</f>
        <v>630.12</v>
      </c>
      <c r="D50" s="24">
        <f>'Physical data'!D48</f>
        <v>610.67999999999995</v>
      </c>
      <c r="E50" s="24">
        <f>'Physical data'!E48</f>
        <v>625.12800000000004</v>
      </c>
      <c r="F50" s="24">
        <f>'Physical data'!F48</f>
        <v>615.16800000000001</v>
      </c>
      <c r="G50" s="24">
        <f>'Physical data'!G48</f>
        <v>617.76</v>
      </c>
      <c r="H50" s="24">
        <f>'Physical data'!H48</f>
        <v>620.80999999999995</v>
      </c>
      <c r="I50" s="24">
        <f>'Physical data'!I48</f>
        <v>701.69200000000001</v>
      </c>
      <c r="J50" s="24">
        <f>'Physical data'!J48</f>
        <v>697.803</v>
      </c>
      <c r="K50" s="24">
        <f>'Physical data'!K48</f>
        <v>669.9</v>
      </c>
      <c r="L50" s="24">
        <f>'Physical data'!L48</f>
        <v>723.98900000000003</v>
      </c>
      <c r="M50" s="24">
        <f>'Physical data'!M48</f>
        <v>669.24199999999996</v>
      </c>
      <c r="N50" s="2"/>
      <c r="O50" s="2"/>
      <c r="P50" s="2"/>
      <c r="Q50" s="2"/>
      <c r="R50" s="2"/>
      <c r="S50" s="2"/>
      <c r="T50" s="2"/>
      <c r="U50" s="2"/>
      <c r="V50" s="2"/>
      <c r="W50" s="2"/>
      <c r="X50" s="2"/>
      <c r="Y50" s="2"/>
      <c r="Z50" s="2"/>
      <c r="AA50" s="2"/>
      <c r="AB50" s="2"/>
    </row>
    <row r="51" spans="1:28">
      <c r="A51" s="27" t="s">
        <v>220</v>
      </c>
      <c r="C51" s="24">
        <f>'Physical data'!C49+'Physical data'!C51+'Physical data'!C54</f>
        <v>12362.586286894915</v>
      </c>
      <c r="D51" s="24">
        <f>'Physical data'!D49+'Physical data'!D51+'Physical data'!D54</f>
        <v>12310.070155901598</v>
      </c>
      <c r="E51" s="24">
        <f>'Physical data'!E49+'Physical data'!E51+'Physical data'!E54</f>
        <v>12528.595433249144</v>
      </c>
      <c r="F51" s="24">
        <f>'Physical data'!F49+'Physical data'!F51+'Physical data'!F54</f>
        <v>12965.995160048235</v>
      </c>
      <c r="G51" s="24">
        <f>'Physical data'!G49+'Physical data'!G51+'Physical data'!G54</f>
        <v>12823.641835143218</v>
      </c>
      <c r="H51" s="24">
        <f>'Physical data'!H49+'Physical data'!H51+'Physical data'!H54</f>
        <v>13259.111083311105</v>
      </c>
      <c r="I51" s="24">
        <f>'Physical data'!I49+'Physical data'!I51+'Physical data'!I54</f>
        <v>11798.434780592837</v>
      </c>
      <c r="J51" s="24">
        <f>'Physical data'!J49+'Physical data'!J51+'Physical data'!J54</f>
        <v>12392.668771660467</v>
      </c>
      <c r="K51" s="24">
        <f>'Physical data'!K49+'Physical data'!K51+'Physical data'!K54</f>
        <v>11494.491566584949</v>
      </c>
      <c r="L51" s="24">
        <f>'Physical data'!L49+'Physical data'!L51+'Physical data'!L54</f>
        <v>11684.367639467051</v>
      </c>
      <c r="M51" s="24">
        <f>'Physical data'!M49+'Physical data'!M51+'Physical data'!M54</f>
        <v>12742.867236532322</v>
      </c>
    </row>
    <row r="52" spans="1:28">
      <c r="A52" s="27" t="s">
        <v>221</v>
      </c>
      <c r="C52" s="24">
        <f>'Physical data'!C52+'Physical data'!C53</f>
        <v>7029.5973993415828</v>
      </c>
      <c r="D52" s="24">
        <f>'Physical data'!D52+'Physical data'!D53</f>
        <v>7469.5990000000002</v>
      </c>
      <c r="E52" s="24">
        <f>'Physical data'!E52+'Physical data'!E53</f>
        <v>7875.357408042908</v>
      </c>
      <c r="F52" s="24">
        <f>'Physical data'!F52+'Physical data'!F53</f>
        <v>8068.373514427185</v>
      </c>
      <c r="G52" s="24">
        <f>'Physical data'!G52+'Physical data'!G53</f>
        <v>8535.7558321914676</v>
      </c>
      <c r="H52" s="24">
        <f>'Physical data'!H52+'Physical data'!H53</f>
        <v>8106.1328794860838</v>
      </c>
      <c r="I52" s="24">
        <f>'Physical data'!I52+'Physical data'!I53</f>
        <v>7846.3278401031494</v>
      </c>
      <c r="J52" s="24">
        <f>'Physical data'!J52+'Physical data'!J53</f>
        <v>7835.3748484497064</v>
      </c>
      <c r="K52" s="24">
        <f>'Physical data'!K52+'Physical data'!K53</f>
        <v>7601.6037792129518</v>
      </c>
      <c r="L52" s="24">
        <f>'Physical data'!L52+'Physical data'!L53</f>
        <v>7857.366000591278</v>
      </c>
      <c r="M52" s="24">
        <f>'Physical data'!M52+'Physical data'!M53</f>
        <v>7867.5451318429568</v>
      </c>
    </row>
    <row r="53" spans="1:28">
      <c r="A53" s="27" t="s">
        <v>222</v>
      </c>
      <c r="C53" s="24">
        <f>'Physical data'!C57</f>
        <v>2765.2886759999997</v>
      </c>
      <c r="D53" s="24">
        <f>'Physical data'!D57</f>
        <v>2746.0278239999989</v>
      </c>
      <c r="E53" s="24">
        <f>'Physical data'!E57</f>
        <v>2959.9079359999992</v>
      </c>
      <c r="F53" s="24">
        <f>'Physical data'!F57</f>
        <v>3192.7919959999999</v>
      </c>
      <c r="G53" s="24">
        <f>'Physical data'!G57</f>
        <v>3096.2725459999997</v>
      </c>
      <c r="H53" s="24">
        <f>'Physical data'!H57</f>
        <v>3096.3392140000005</v>
      </c>
      <c r="I53" s="24">
        <f>'Physical data'!I57</f>
        <v>2768.2162320000007</v>
      </c>
      <c r="J53" s="24">
        <f>'Physical data'!J57</f>
        <v>2902.2357060000004</v>
      </c>
      <c r="K53" s="24">
        <f>'Physical data'!K57</f>
        <v>3048.9762520000008</v>
      </c>
      <c r="L53" s="24">
        <f>'Physical data'!L57</f>
        <v>2746.4357560000008</v>
      </c>
      <c r="M53" s="24">
        <f>'Physical data'!M57</f>
        <v>2775.961812</v>
      </c>
    </row>
    <row r="54" spans="1:28">
      <c r="A54" s="27" t="s">
        <v>223</v>
      </c>
      <c r="C54" s="24">
        <f>'Physical data'!C59</f>
        <v>1063</v>
      </c>
      <c r="D54" s="24">
        <f>'Physical data'!D59</f>
        <v>1148</v>
      </c>
      <c r="E54" s="24">
        <f>'Physical data'!E59</f>
        <v>1154</v>
      </c>
      <c r="F54" s="24">
        <f>'Physical data'!F59</f>
        <v>1134</v>
      </c>
      <c r="G54" s="24">
        <f>'Physical data'!G59</f>
        <v>1111</v>
      </c>
      <c r="H54" s="24">
        <f>'Physical data'!H59</f>
        <v>1082</v>
      </c>
      <c r="I54" s="24">
        <f>'Physical data'!I59</f>
        <v>1042</v>
      </c>
      <c r="J54" s="24">
        <f>'Physical data'!J59</f>
        <v>1022</v>
      </c>
      <c r="K54" s="24">
        <f>'Physical data'!K59</f>
        <v>1052.3589992046859</v>
      </c>
      <c r="L54" s="24">
        <f>'Physical data'!L59</f>
        <v>1044.2505460000002</v>
      </c>
      <c r="M54" s="24">
        <f>'Physical data'!M59</f>
        <v>1075.0388159999998</v>
      </c>
    </row>
    <row r="55" spans="1:28">
      <c r="A55" s="27" t="s">
        <v>224</v>
      </c>
      <c r="C55" s="24">
        <f>'Physical data'!C50+'Physical data'!C55+'Physical data'!C56+'Physical data'!C58+'Physical data'!C60</f>
        <v>7559.4329891842644</v>
      </c>
      <c r="D55" s="24">
        <f>'Physical data'!D50+'Physical data'!D55+'Physical data'!D56+'Physical data'!D58+'Physical data'!D60</f>
        <v>7942.7561254965112</v>
      </c>
      <c r="E55" s="24">
        <f>'Physical data'!E50+'Physical data'!E55+'Physical data'!E56+'Physical data'!E58+'Physical data'!E60</f>
        <v>8433.6682864476552</v>
      </c>
      <c r="F55" s="24">
        <f>'Physical data'!F50+'Physical data'!F55+'Physical data'!F56+'Physical data'!F58+'Physical data'!F60</f>
        <v>9052.8896425876901</v>
      </c>
      <c r="G55" s="24">
        <f>'Physical data'!G50+'Physical data'!G55+'Physical data'!G56+'Physical data'!G58+'Physical data'!G60</f>
        <v>8805.7713676030908</v>
      </c>
      <c r="H55" s="24">
        <f>'Physical data'!H50+'Physical data'!H55+'Physical data'!H56+'Physical data'!H58+'Physical data'!H60</f>
        <v>8646.7378953678162</v>
      </c>
      <c r="I55" s="24">
        <f>'Physical data'!I50+'Physical data'!I55+'Physical data'!I56+'Physical data'!I58+'Physical data'!I60</f>
        <v>8126.383240000001</v>
      </c>
      <c r="J55" s="24">
        <f>'Physical data'!J50+'Physical data'!J55+'Physical data'!J56+'Physical data'!J58+'Physical data'!J60</f>
        <v>8756.838600000001</v>
      </c>
      <c r="K55" s="24">
        <f>'Physical data'!K50+'Physical data'!K55+'Physical data'!K56+'Physical data'!K58+'Physical data'!K60</f>
        <v>9109.4893681060003</v>
      </c>
      <c r="L55" s="24">
        <f>'Physical data'!L50+'Physical data'!L55+'Physical data'!L56+'Physical data'!L58+'Physical data'!L60</f>
        <v>8062.7793397567966</v>
      </c>
      <c r="M55" s="24">
        <f>'Physical data'!M50+'Physical data'!M55+'Physical data'!M56+'Physical data'!M58+'Physical data'!M60</f>
        <v>8844.5012939999997</v>
      </c>
    </row>
    <row r="58" spans="1:28">
      <c r="A58" s="2" t="s">
        <v>228</v>
      </c>
      <c r="B58" s="2"/>
      <c r="C58" s="2"/>
      <c r="D58" s="2"/>
      <c r="E58" s="2"/>
      <c r="F58" s="2"/>
      <c r="G58" s="2"/>
      <c r="H58" s="2"/>
      <c r="I58" s="2"/>
      <c r="J58" s="2"/>
      <c r="K58" s="2"/>
      <c r="L58" s="2"/>
      <c r="M58" s="2"/>
    </row>
    <row r="59" spans="1:28">
      <c r="A59" s="2"/>
      <c r="B59" s="2"/>
      <c r="C59" s="2">
        <v>2006</v>
      </c>
      <c r="D59" s="2">
        <v>2007</v>
      </c>
      <c r="E59" s="2">
        <v>2008</v>
      </c>
      <c r="F59" s="2">
        <v>2009</v>
      </c>
      <c r="G59" s="2">
        <v>2010</v>
      </c>
      <c r="H59" s="2">
        <v>2011</v>
      </c>
      <c r="I59" s="2">
        <v>2012</v>
      </c>
      <c r="J59" s="2">
        <v>2013</v>
      </c>
      <c r="K59" s="2">
        <v>2014</v>
      </c>
      <c r="L59" s="2">
        <v>2015</v>
      </c>
      <c r="M59" s="2">
        <v>2016</v>
      </c>
    </row>
    <row r="60" spans="1:28">
      <c r="A60" s="27" t="s">
        <v>58</v>
      </c>
      <c r="B60" s="2"/>
      <c r="C60" s="25">
        <f>(C22*1000)/C50</f>
        <v>163141.87580892173</v>
      </c>
      <c r="D60" s="25">
        <f t="shared" ref="D60:M60" si="7">(D22*1000)/D50</f>
        <v>170514.24841518764</v>
      </c>
      <c r="E60" s="25">
        <f t="shared" si="7"/>
        <v>173877.66681557457</v>
      </c>
      <c r="F60" s="25">
        <f t="shared" si="7"/>
        <v>180815.87448377922</v>
      </c>
      <c r="G60" s="25">
        <f t="shared" si="7"/>
        <v>194507.91677022525</v>
      </c>
      <c r="H60" s="25">
        <f t="shared" si="7"/>
        <v>211336.79934615578</v>
      </c>
      <c r="I60" s="25">
        <f t="shared" si="7"/>
        <v>199725.30434526765</v>
      </c>
      <c r="J60" s="25">
        <f t="shared" si="7"/>
        <v>217150.4546636368</v>
      </c>
      <c r="K60" s="25">
        <f t="shared" si="7"/>
        <v>247190.36416562236</v>
      </c>
      <c r="L60" s="25">
        <f t="shared" si="7"/>
        <v>239867.16744230763</v>
      </c>
      <c r="M60" s="25">
        <f t="shared" si="7"/>
        <v>215545.95019207505</v>
      </c>
    </row>
    <row r="61" spans="1:28">
      <c r="A61" s="27" t="s">
        <v>220</v>
      </c>
      <c r="B61" s="2"/>
      <c r="C61" s="25">
        <f t="shared" ref="C61:M61" si="8">(C23*1000)/C51</f>
        <v>167859.18239549387</v>
      </c>
      <c r="D61" s="25">
        <f t="shared" si="8"/>
        <v>176418.81231201207</v>
      </c>
      <c r="E61" s="25">
        <f t="shared" si="8"/>
        <v>205969.76057398447</v>
      </c>
      <c r="F61" s="25">
        <f t="shared" si="8"/>
        <v>200958.67040214819</v>
      </c>
      <c r="G61" s="25">
        <f t="shared" si="8"/>
        <v>220769.04528031638</v>
      </c>
      <c r="H61" s="25">
        <f t="shared" si="8"/>
        <v>222374.84537277656</v>
      </c>
      <c r="I61" s="25">
        <f t="shared" si="8"/>
        <v>273408.08648420259</v>
      </c>
      <c r="J61" s="25">
        <f t="shared" si="8"/>
        <v>259115.18475915716</v>
      </c>
      <c r="K61" s="25">
        <f t="shared" si="8"/>
        <v>290712.99614368973</v>
      </c>
      <c r="L61" s="25">
        <f t="shared" si="8"/>
        <v>291539.73659820569</v>
      </c>
      <c r="M61" s="25">
        <f t="shared" si="8"/>
        <v>263552.33275082905</v>
      </c>
    </row>
    <row r="62" spans="1:28">
      <c r="A62" s="27" t="s">
        <v>221</v>
      </c>
      <c r="B62" s="2"/>
      <c r="C62" s="25">
        <f t="shared" ref="C62:M62" si="9">(C24*1000)/C52</f>
        <v>214008.47261932548</v>
      </c>
      <c r="D62" s="25">
        <f t="shared" si="9"/>
        <v>211599.05759451131</v>
      </c>
      <c r="E62" s="25">
        <f t="shared" si="9"/>
        <v>209666.45929863825</v>
      </c>
      <c r="F62" s="25">
        <f t="shared" si="9"/>
        <v>207596.02582135459</v>
      </c>
      <c r="G62" s="25">
        <f t="shared" si="9"/>
        <v>203436.82512211759</v>
      </c>
      <c r="H62" s="25">
        <f t="shared" si="9"/>
        <v>234194.18902875221</v>
      </c>
      <c r="I62" s="25">
        <f t="shared" si="9"/>
        <v>253606.55365323019</v>
      </c>
      <c r="J62" s="25">
        <f t="shared" si="9"/>
        <v>253177.26042557918</v>
      </c>
      <c r="K62" s="25">
        <f t="shared" si="9"/>
        <v>263139.74396321748</v>
      </c>
      <c r="L62" s="25">
        <f t="shared" si="9"/>
        <v>261590.52635716964</v>
      </c>
      <c r="M62" s="25">
        <f t="shared" si="9"/>
        <v>255036.33054508813</v>
      </c>
    </row>
    <row r="63" spans="1:28">
      <c r="A63" s="27" t="s">
        <v>222</v>
      </c>
      <c r="B63" s="2"/>
      <c r="C63" s="25">
        <f t="shared" ref="C63:M63" si="10">(C25*1000)/C53</f>
        <v>166308.11695895332</v>
      </c>
      <c r="D63" s="25">
        <f t="shared" si="10"/>
        <v>167762.38170758844</v>
      </c>
      <c r="E63" s="25">
        <f t="shared" si="10"/>
        <v>162700.74831977981</v>
      </c>
      <c r="F63" s="25">
        <f t="shared" si="10"/>
        <v>157523.50873243879</v>
      </c>
      <c r="G63" s="25">
        <f t="shared" si="10"/>
        <v>166061.19271837414</v>
      </c>
      <c r="H63" s="25">
        <f t="shared" si="10"/>
        <v>173558.93487720145</v>
      </c>
      <c r="I63" s="25">
        <f t="shared" si="10"/>
        <v>201315.54021439111</v>
      </c>
      <c r="J63" s="25">
        <f t="shared" si="10"/>
        <v>205255.85713750296</v>
      </c>
      <c r="K63" s="25">
        <f t="shared" si="10"/>
        <v>202986.13552443826</v>
      </c>
      <c r="L63" s="25">
        <f t="shared" si="10"/>
        <v>236769.4128052571</v>
      </c>
      <c r="M63" s="25">
        <f t="shared" si="10"/>
        <v>205650.39364596887</v>
      </c>
    </row>
    <row r="64" spans="1:28">
      <c r="A64" s="27" t="s">
        <v>223</v>
      </c>
      <c r="B64" s="2"/>
      <c r="C64" s="25">
        <f t="shared" ref="C64:M64" si="11">(C26*1000)/C54</f>
        <v>154793.29314233791</v>
      </c>
      <c r="D64" s="25">
        <f t="shared" si="11"/>
        <v>152529.66700608667</v>
      </c>
      <c r="E64" s="25">
        <f t="shared" si="11"/>
        <v>154080.4748131971</v>
      </c>
      <c r="F64" s="25">
        <f t="shared" si="11"/>
        <v>158144.2663734534</v>
      </c>
      <c r="G64" s="25">
        <f t="shared" si="11"/>
        <v>184760.16950985015</v>
      </c>
      <c r="H64" s="25">
        <f t="shared" si="11"/>
        <v>197014.02676573535</v>
      </c>
      <c r="I64" s="25">
        <f t="shared" si="11"/>
        <v>219056.01041686797</v>
      </c>
      <c r="J64" s="25">
        <f t="shared" si="11"/>
        <v>209619.95750171019</v>
      </c>
      <c r="K64" s="25">
        <f t="shared" si="11"/>
        <v>206875.60762363503</v>
      </c>
      <c r="L64" s="25">
        <f t="shared" si="11"/>
        <v>202387.46319525919</v>
      </c>
      <c r="M64" s="25">
        <f t="shared" si="11"/>
        <v>203155.93821252321</v>
      </c>
    </row>
    <row r="65" spans="1:13">
      <c r="A65" s="27" t="s">
        <v>224</v>
      </c>
      <c r="B65" s="2"/>
      <c r="C65" s="25">
        <f t="shared" ref="C65:M65" si="12">(C27*1000)/C55</f>
        <v>145100.87307188881</v>
      </c>
      <c r="D65" s="25">
        <f t="shared" si="12"/>
        <v>144047.79921441284</v>
      </c>
      <c r="E65" s="25">
        <f t="shared" si="12"/>
        <v>136515.59642710438</v>
      </c>
      <c r="F65" s="25">
        <f t="shared" si="12"/>
        <v>137048.130673468</v>
      </c>
      <c r="G65" s="25">
        <f t="shared" si="12"/>
        <v>144619.49452813825</v>
      </c>
      <c r="H65" s="25">
        <f t="shared" si="12"/>
        <v>153000.62646589684</v>
      </c>
      <c r="I65" s="25">
        <f t="shared" si="12"/>
        <v>177884.9620262949</v>
      </c>
      <c r="J65" s="25">
        <f t="shared" si="12"/>
        <v>175218.34564786113</v>
      </c>
      <c r="K65" s="25">
        <f t="shared" si="12"/>
        <v>171696.81863981119</v>
      </c>
      <c r="L65" s="25">
        <f t="shared" si="12"/>
        <v>204118.24614883584</v>
      </c>
      <c r="M65" s="25">
        <f t="shared" si="12"/>
        <v>202653.56034007482</v>
      </c>
    </row>
    <row r="69" spans="1:13">
      <c r="A69" t="s">
        <v>79</v>
      </c>
    </row>
    <row r="70" spans="1:13">
      <c r="A70" s="27" t="s">
        <v>58</v>
      </c>
      <c r="C70" s="24">
        <f>'Physical data'!C78</f>
        <v>4648.9298843987908</v>
      </c>
      <c r="D70" s="24">
        <f>'Physical data'!D78</f>
        <v>4696.5790899999993</v>
      </c>
      <c r="E70" s="24">
        <f>'Physical data'!E78</f>
        <v>4686.5790899999993</v>
      </c>
      <c r="F70" s="24">
        <f>'Physical data'!F78</f>
        <v>4765.5790899999993</v>
      </c>
      <c r="G70" s="24">
        <f>'Physical data'!G78</f>
        <v>4846.5790899999993</v>
      </c>
      <c r="H70" s="24">
        <f>'Physical data'!H78</f>
        <v>4938.5790899999993</v>
      </c>
      <c r="I70" s="24">
        <f>'Physical data'!I78</f>
        <v>5018.0259299999998</v>
      </c>
      <c r="J70" s="24">
        <f>'Physical data'!J78</f>
        <v>5170.8114179603508</v>
      </c>
      <c r="K70" s="24">
        <f>'Physical data'!K78</f>
        <v>5219.8147170618195</v>
      </c>
      <c r="L70" s="24">
        <f>'Physical data'!L78</f>
        <v>5272.084028609941</v>
      </c>
      <c r="M70" s="24">
        <f>'Physical data'!M78</f>
        <v>5311.5686703586798</v>
      </c>
    </row>
    <row r="71" spans="1:13">
      <c r="A71" s="27" t="s">
        <v>220</v>
      </c>
      <c r="C71" s="24">
        <f>'Physical data'!C79+'Physical data'!C81+'Physical data'!C84</f>
        <v>270725.39500000002</v>
      </c>
      <c r="D71" s="24">
        <f>'Physical data'!D79+'Physical data'!D81+'Physical data'!D84</f>
        <v>261158.94020000001</v>
      </c>
      <c r="E71" s="24">
        <f>'Physical data'!E79+'Physical data'!E81+'Physical data'!E84</f>
        <v>258351.9062</v>
      </c>
      <c r="F71" s="24">
        <f>'Physical data'!F79+'Physical data'!F81+'Physical data'!F84</f>
        <v>260791.30619999999</v>
      </c>
      <c r="G71" s="24">
        <f>'Physical data'!G79+'Physical data'!G81+'Physical data'!G84</f>
        <v>262196.27549999999</v>
      </c>
      <c r="H71" s="24">
        <f>'Physical data'!H79+'Physical data'!H81+'Physical data'!H84</f>
        <v>265036.42300000001</v>
      </c>
      <c r="I71" s="24">
        <f>'Physical data'!I79+'Physical data'!I81+'Physical data'!I84</f>
        <v>266013.29300000001</v>
      </c>
      <c r="J71" s="24">
        <f>'Physical data'!J79+'Physical data'!J81+'Physical data'!J84</f>
        <v>267099.50599999999</v>
      </c>
      <c r="K71" s="24">
        <f>'Physical data'!K79+'Physical data'!K81+'Physical data'!K84</f>
        <v>267919.549</v>
      </c>
      <c r="L71" s="24">
        <f>'Physical data'!L79+'Physical data'!L81+'Physical data'!L84</f>
        <v>268850.80359643564</v>
      </c>
      <c r="M71" s="24">
        <f>'Physical data'!M79+'Physical data'!M81+'Physical data'!M84</f>
        <v>269866.39593153715</v>
      </c>
    </row>
    <row r="72" spans="1:13">
      <c r="A72" s="27" t="s">
        <v>221</v>
      </c>
      <c r="C72" s="24">
        <f>'Physical data'!C82+'Physical data'!C83</f>
        <v>195011.43893726001</v>
      </c>
      <c r="D72" s="24">
        <f>'Physical data'!D82+'Physical data'!D83</f>
        <v>197781.49844103999</v>
      </c>
      <c r="E72" s="24">
        <f>'Physical data'!E82+'Physical data'!E83</f>
        <v>199146.03925174003</v>
      </c>
      <c r="F72" s="24">
        <f>'Physical data'!F82+'Physical data'!F83</f>
        <v>201197.05533772003</v>
      </c>
      <c r="G72" s="24">
        <f>'Physical data'!G82+'Physical data'!G83</f>
        <v>202696.65545786</v>
      </c>
      <c r="H72" s="24">
        <f>'Physical data'!H82+'Physical data'!H83</f>
        <v>203500.53246680001</v>
      </c>
      <c r="I72" s="24">
        <f>'Physical data'!I82+'Physical data'!I83</f>
        <v>205089.85140545998</v>
      </c>
      <c r="J72" s="24">
        <f>'Physical data'!J82+'Physical data'!J83</f>
        <v>202253.37732780748</v>
      </c>
      <c r="K72" s="24">
        <f>'Physical data'!K82+'Physical data'!K83</f>
        <v>203218.85183481962</v>
      </c>
      <c r="L72" s="24">
        <f>'Physical data'!L82+'Physical data'!L83</f>
        <v>205024.21017616478</v>
      </c>
      <c r="M72" s="24">
        <f>'Physical data'!M82+'Physical data'!M83</f>
        <v>205456.51888915259</v>
      </c>
    </row>
    <row r="73" spans="1:13">
      <c r="A73" s="27" t="s">
        <v>222</v>
      </c>
      <c r="C73" s="24">
        <f>'Physical data'!C87</f>
        <v>84830.405693445078</v>
      </c>
      <c r="D73" s="24">
        <f>'Physical data'!D87</f>
        <v>85326.120621562557</v>
      </c>
      <c r="E73" s="24">
        <f>'Physical data'!E87</f>
        <v>85821.835549680036</v>
      </c>
      <c r="F73" s="24">
        <f>'Physical data'!F87</f>
        <v>86624.718035020574</v>
      </c>
      <c r="G73" s="24">
        <f>'Physical data'!G87</f>
        <v>87208.550876580557</v>
      </c>
      <c r="H73" s="24">
        <f>'Physical data'!H87</f>
        <v>87193.681406010772</v>
      </c>
      <c r="I73" s="24">
        <f>'Physical data'!I87</f>
        <v>87647.697035597783</v>
      </c>
      <c r="J73" s="24">
        <f>'Physical data'!J87</f>
        <v>87882.26999999999</v>
      </c>
      <c r="K73" s="24">
        <f>'Physical data'!K87</f>
        <v>88082.642999999996</v>
      </c>
      <c r="L73" s="24">
        <f>'Physical data'!L87</f>
        <v>88201</v>
      </c>
      <c r="M73" s="24">
        <f>'Physical data'!M87</f>
        <v>88808</v>
      </c>
    </row>
    <row r="74" spans="1:13">
      <c r="A74" s="27" t="s">
        <v>223</v>
      </c>
      <c r="C74" s="24">
        <f>'Physical data'!C89</f>
        <v>21209.899999999994</v>
      </c>
      <c r="D74" s="24">
        <f>'Physical data'!D89</f>
        <v>21210.099999999995</v>
      </c>
      <c r="E74" s="24">
        <f>'Physical data'!E89</f>
        <v>21210.099999999995</v>
      </c>
      <c r="F74" s="24">
        <f>'Physical data'!F89</f>
        <v>21267.799999999996</v>
      </c>
      <c r="G74" s="24">
        <f>'Physical data'!G89</f>
        <v>21631.699999999997</v>
      </c>
      <c r="H74" s="24">
        <f>'Physical data'!H89</f>
        <v>22027.1</v>
      </c>
      <c r="I74" s="24">
        <f>'Physical data'!I89</f>
        <v>22222.099999999995</v>
      </c>
      <c r="J74" s="24">
        <f>'Physical data'!J89</f>
        <v>22335.899999999998</v>
      </c>
      <c r="K74" s="24">
        <f>'Physical data'!K89</f>
        <v>22495.899999999998</v>
      </c>
      <c r="L74" s="24">
        <f>'Physical data'!L89</f>
        <v>22629.245000000003</v>
      </c>
      <c r="M74" s="24">
        <f>'Physical data'!M89</f>
        <v>22681.083000000002</v>
      </c>
    </row>
    <row r="75" spans="1:13">
      <c r="A75" s="27" t="s">
        <v>224</v>
      </c>
      <c r="C75" s="24">
        <f>'Physical data'!C80+'Physical data'!C85+'Physical data'!C86+'Physical data'!C88+'Physical data'!C90</f>
        <v>135238.29184283986</v>
      </c>
      <c r="D75" s="24">
        <f>'Physical data'!D80+'Physical data'!D85+'Physical data'!D86+'Physical data'!D88+'Physical data'!D90</f>
        <v>136088.22292276335</v>
      </c>
      <c r="E75" s="24">
        <f>'Physical data'!E80+'Physical data'!E85+'Physical data'!E86+'Physical data'!E88+'Physical data'!E90</f>
        <v>136718.59571955903</v>
      </c>
      <c r="F75" s="24">
        <f>'Physical data'!F80+'Physical data'!F85+'Physical data'!F86+'Physical data'!F88+'Physical data'!F90</f>
        <v>138184.74501340615</v>
      </c>
      <c r="G75" s="24">
        <f>'Physical data'!G80+'Physical data'!G85+'Physical data'!G86+'Physical data'!G88+'Physical data'!G90</f>
        <v>139182.00578247206</v>
      </c>
      <c r="H75" s="24">
        <f>'Physical data'!H80+'Physical data'!H85+'Physical data'!H86+'Physical data'!H88+'Physical data'!H90</f>
        <v>139397.92494814956</v>
      </c>
      <c r="I75" s="24">
        <f>'Physical data'!I80+'Physical data'!I85+'Physical data'!I86+'Physical data'!I88+'Physical data'!I90</f>
        <v>140522.16910665613</v>
      </c>
      <c r="J75" s="24">
        <f>'Physical data'!J80+'Physical data'!J85+'Physical data'!J86+'Physical data'!J88+'Physical data'!J90</f>
        <v>141027.47176024938</v>
      </c>
      <c r="K75" s="24">
        <f>'Physical data'!K80+'Physical data'!K85+'Physical data'!K86+'Physical data'!K88+'Physical data'!K90</f>
        <v>141901.94734043392</v>
      </c>
      <c r="L75" s="24">
        <f>'Physical data'!L80+'Physical data'!L85+'Physical data'!L86+'Physical data'!L88+'Physical data'!L90</f>
        <v>142425.98808649892</v>
      </c>
      <c r="M75" s="24">
        <f>'Physical data'!M80+'Physical data'!M85+'Physical data'!M86+'Physical data'!M88+'Physical data'!M90</f>
        <v>143095.99330752593</v>
      </c>
    </row>
    <row r="78" spans="1:13">
      <c r="A78" s="2" t="s">
        <v>229</v>
      </c>
      <c r="B78" s="2"/>
      <c r="C78" s="2"/>
      <c r="D78" s="2"/>
      <c r="E78" s="2"/>
      <c r="F78" s="2"/>
      <c r="G78" s="2"/>
      <c r="H78" s="2"/>
      <c r="I78" s="2"/>
      <c r="J78" s="2"/>
      <c r="K78" s="2"/>
      <c r="L78" s="2"/>
      <c r="M78" s="2"/>
    </row>
    <row r="79" spans="1:13">
      <c r="A79" s="2"/>
      <c r="B79" s="2"/>
      <c r="C79" s="2">
        <v>2006</v>
      </c>
      <c r="D79" s="2">
        <v>2007</v>
      </c>
      <c r="E79" s="2">
        <v>2008</v>
      </c>
      <c r="F79" s="2">
        <v>2009</v>
      </c>
      <c r="G79" s="2">
        <v>2010</v>
      </c>
      <c r="H79" s="2">
        <v>2011</v>
      </c>
      <c r="I79" s="2">
        <v>2012</v>
      </c>
      <c r="J79" s="2">
        <v>2013</v>
      </c>
      <c r="K79" s="2">
        <v>2014</v>
      </c>
      <c r="L79" s="2">
        <v>2015</v>
      </c>
      <c r="M79" s="2">
        <v>2016</v>
      </c>
    </row>
    <row r="80" spans="1:13">
      <c r="A80" s="27" t="s">
        <v>58</v>
      </c>
      <c r="B80" s="2"/>
      <c r="C80" s="25">
        <f>(C22*1000)/C70</f>
        <v>22112.391741957177</v>
      </c>
      <c r="D80" s="25">
        <f t="shared" ref="D80:M80" si="13">(D22*1000)/D70</f>
        <v>22171.38032315917</v>
      </c>
      <c r="E80" s="25">
        <f t="shared" si="13"/>
        <v>23192.993442277857</v>
      </c>
      <c r="F80" s="25">
        <f t="shared" si="13"/>
        <v>23340.739451338643</v>
      </c>
      <c r="G80" s="25">
        <f t="shared" si="13"/>
        <v>24792.58223844942</v>
      </c>
      <c r="H80" s="25">
        <f t="shared" si="13"/>
        <v>26566.345503659228</v>
      </c>
      <c r="I80" s="25">
        <f t="shared" si="13"/>
        <v>27928.442421707365</v>
      </c>
      <c r="J80" s="25">
        <f t="shared" si="13"/>
        <v>29304.537811866427</v>
      </c>
      <c r="K80" s="25">
        <f t="shared" si="13"/>
        <v>31723.889434865025</v>
      </c>
      <c r="L80" s="25">
        <f t="shared" si="13"/>
        <v>32939.761533955876</v>
      </c>
      <c r="M80" s="25">
        <f t="shared" si="13"/>
        <v>27158.15453981575</v>
      </c>
    </row>
    <row r="81" spans="1:13">
      <c r="A81" s="27" t="s">
        <v>220</v>
      </c>
      <c r="B81" s="2"/>
      <c r="C81" s="25">
        <f t="shared" ref="C81:M81" si="14">(C23*1000)/C71</f>
        <v>7665.2344580083627</v>
      </c>
      <c r="D81" s="25">
        <f t="shared" si="14"/>
        <v>8315.7327668681701</v>
      </c>
      <c r="E81" s="25">
        <f t="shared" si="14"/>
        <v>9988.3598293134692</v>
      </c>
      <c r="F81" s="25">
        <f t="shared" si="14"/>
        <v>9991.2423683546167</v>
      </c>
      <c r="G81" s="25">
        <f t="shared" si="14"/>
        <v>10797.495729344533</v>
      </c>
      <c r="H81" s="25">
        <f t="shared" si="14"/>
        <v>11124.858778115093</v>
      </c>
      <c r="I81" s="25">
        <f t="shared" si="14"/>
        <v>12126.414588125679</v>
      </c>
      <c r="J81" s="25">
        <f t="shared" si="14"/>
        <v>12022.21863498257</v>
      </c>
      <c r="K81" s="25">
        <f t="shared" si="14"/>
        <v>12472.393653030091</v>
      </c>
      <c r="L81" s="25">
        <f t="shared" si="14"/>
        <v>12670.438095621837</v>
      </c>
      <c r="M81" s="25">
        <f t="shared" si="14"/>
        <v>12444.722413583519</v>
      </c>
    </row>
    <row r="82" spans="1:13">
      <c r="A82" s="27" t="s">
        <v>221</v>
      </c>
      <c r="B82" s="2"/>
      <c r="C82" s="25">
        <f t="shared" ref="C82:M82" si="15">(C24*1000)/C72</f>
        <v>7714.3854266204098</v>
      </c>
      <c r="D82" s="25">
        <f t="shared" si="15"/>
        <v>7991.4457189739614</v>
      </c>
      <c r="E82" s="25">
        <f t="shared" si="15"/>
        <v>8291.3941430107061</v>
      </c>
      <c r="F82" s="25">
        <f t="shared" si="15"/>
        <v>8324.9840492240091</v>
      </c>
      <c r="G82" s="25">
        <f t="shared" si="15"/>
        <v>8566.9251058739901</v>
      </c>
      <c r="H82" s="25">
        <f t="shared" si="15"/>
        <v>9328.7678064442516</v>
      </c>
      <c r="I82" s="25">
        <f t="shared" si="15"/>
        <v>9702.479906857925</v>
      </c>
      <c r="J82" s="25">
        <f t="shared" si="15"/>
        <v>9808.1859731953336</v>
      </c>
      <c r="K82" s="25">
        <f t="shared" si="15"/>
        <v>9843.0044954579007</v>
      </c>
      <c r="L82" s="25">
        <f t="shared" si="15"/>
        <v>10025.218514972017</v>
      </c>
      <c r="M82" s="25">
        <f t="shared" si="15"/>
        <v>9766.1045347782165</v>
      </c>
    </row>
    <row r="83" spans="1:13">
      <c r="A83" s="27" t="s">
        <v>222</v>
      </c>
      <c r="B83" s="2"/>
      <c r="C83" s="25">
        <f t="shared" ref="C83:M83" si="16">(C25*1000)/C73</f>
        <v>5421.2867284331905</v>
      </c>
      <c r="D83" s="25">
        <f t="shared" si="16"/>
        <v>5399.0520679212614</v>
      </c>
      <c r="E83" s="25">
        <f t="shared" si="16"/>
        <v>5611.383548958016</v>
      </c>
      <c r="F83" s="25">
        <f t="shared" si="16"/>
        <v>5805.961730916556</v>
      </c>
      <c r="G83" s="25">
        <f t="shared" si="16"/>
        <v>5895.8749664076231</v>
      </c>
      <c r="H83" s="25">
        <f t="shared" si="16"/>
        <v>6163.2600818630563</v>
      </c>
      <c r="I83" s="25">
        <f t="shared" si="16"/>
        <v>6358.2383225538388</v>
      </c>
      <c r="J83" s="25">
        <f t="shared" si="16"/>
        <v>6778.3965690701461</v>
      </c>
      <c r="K83" s="25">
        <f t="shared" si="16"/>
        <v>7026.3548597113049</v>
      </c>
      <c r="L83" s="25">
        <f t="shared" si="16"/>
        <v>7372.6146104407271</v>
      </c>
      <c r="M83" s="25">
        <f t="shared" si="16"/>
        <v>6428.2231261145062</v>
      </c>
    </row>
    <row r="84" spans="1:13">
      <c r="A84" s="27" t="s">
        <v>223</v>
      </c>
      <c r="B84" s="2"/>
      <c r="C84" s="25">
        <f t="shared" ref="C84:M84" si="17">(C26*1000)/C74</f>
        <v>7757.9465537463748</v>
      </c>
      <c r="D84" s="25">
        <f t="shared" si="17"/>
        <v>8255.692227900272</v>
      </c>
      <c r="E84" s="25">
        <f t="shared" si="17"/>
        <v>8383.2168605725328</v>
      </c>
      <c r="F84" s="25">
        <f t="shared" si="17"/>
        <v>8432.2590050450071</v>
      </c>
      <c r="G84" s="25">
        <f t="shared" si="17"/>
        <v>9489.2471847077923</v>
      </c>
      <c r="H84" s="25">
        <f t="shared" si="17"/>
        <v>9677.5870160178001</v>
      </c>
      <c r="I84" s="25">
        <f t="shared" si="17"/>
        <v>10271.592822207464</v>
      </c>
      <c r="J84" s="25">
        <f t="shared" si="17"/>
        <v>9591.3572574531518</v>
      </c>
      <c r="K84" s="25">
        <f t="shared" si="17"/>
        <v>9677.6482558452826</v>
      </c>
      <c r="L84" s="25">
        <f t="shared" si="17"/>
        <v>9339.3844534010896</v>
      </c>
      <c r="M84" s="25">
        <f t="shared" si="17"/>
        <v>9629.1927188556219</v>
      </c>
    </row>
    <row r="85" spans="1:13">
      <c r="A85" s="27" t="s">
        <v>224</v>
      </c>
      <c r="B85" s="2"/>
      <c r="C85" s="25">
        <f t="shared" ref="C85:M85" si="18">(C27*1000)/C75</f>
        <v>8110.7230186976731</v>
      </c>
      <c r="D85" s="25">
        <f t="shared" si="18"/>
        <v>8407.314865327633</v>
      </c>
      <c r="E85" s="25">
        <f t="shared" si="18"/>
        <v>8421.1460052909806</v>
      </c>
      <c r="F85" s="25">
        <f t="shared" si="18"/>
        <v>8978.4266894980083</v>
      </c>
      <c r="G85" s="25">
        <f t="shared" si="18"/>
        <v>9149.7905706535566</v>
      </c>
      <c r="H85" s="25">
        <f t="shared" si="18"/>
        <v>9490.5022106302731</v>
      </c>
      <c r="I85" s="25">
        <f t="shared" si="18"/>
        <v>10287.069885473662</v>
      </c>
      <c r="J85" s="25">
        <f t="shared" si="18"/>
        <v>10879.857331667868</v>
      </c>
      <c r="K85" s="25">
        <f t="shared" si="18"/>
        <v>11022.190838471415</v>
      </c>
      <c r="L85" s="25">
        <f t="shared" si="18"/>
        <v>11555.197194185614</v>
      </c>
      <c r="M85" s="25">
        <f t="shared" si="18"/>
        <v>12525.645444240623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C1" workbookViewId="0">
      <selection activeCell="E5" sqref="E5"/>
    </sheetView>
  </sheetViews>
  <sheetFormatPr defaultRowHeight="15"/>
  <cols>
    <col min="3" max="3" width="11.42578125" customWidth="1"/>
    <col min="4" max="4" width="14.85546875" style="2" customWidth="1"/>
    <col min="5" max="5" width="15.28515625" customWidth="1"/>
    <col min="7" max="7" width="106.42578125" customWidth="1"/>
  </cols>
  <sheetData>
    <row r="1" spans="1:18">
      <c r="A1" s="23" t="s">
        <v>192</v>
      </c>
      <c r="B1" s="114"/>
      <c r="C1" s="114"/>
      <c r="D1" s="114"/>
      <c r="E1" s="2"/>
      <c r="F1" s="114"/>
      <c r="G1" s="2"/>
      <c r="H1" s="2"/>
      <c r="I1" s="2"/>
      <c r="J1" s="2"/>
      <c r="K1" s="2"/>
      <c r="L1" s="2"/>
      <c r="M1" s="2"/>
      <c r="N1" s="2"/>
      <c r="O1" s="2"/>
      <c r="P1" s="2"/>
      <c r="Q1" s="2"/>
      <c r="R1" s="2"/>
    </row>
    <row r="2" spans="1:18">
      <c r="A2" s="2"/>
      <c r="B2" s="114"/>
      <c r="C2" s="114"/>
      <c r="D2" s="114"/>
      <c r="E2" s="2"/>
      <c r="F2" s="114"/>
      <c r="G2" s="2"/>
      <c r="H2" s="2"/>
      <c r="I2" s="2"/>
      <c r="J2" s="2"/>
      <c r="K2" s="2"/>
      <c r="L2" s="2"/>
      <c r="M2" s="2"/>
      <c r="N2" s="2"/>
      <c r="O2" s="2"/>
      <c r="P2" s="2"/>
      <c r="Q2" s="2"/>
      <c r="R2" s="2"/>
    </row>
    <row r="3" spans="1:18" ht="15.75" thickBot="1">
      <c r="A3" s="2"/>
      <c r="B3" s="115" t="s">
        <v>181</v>
      </c>
      <c r="C3" s="115" t="s">
        <v>182</v>
      </c>
      <c r="D3" s="115" t="s">
        <v>193</v>
      </c>
      <c r="E3" s="116" t="s">
        <v>195</v>
      </c>
      <c r="F3" s="115" t="s">
        <v>183</v>
      </c>
      <c r="G3" s="116" t="s">
        <v>184</v>
      </c>
      <c r="H3" s="116"/>
      <c r="I3" s="116"/>
      <c r="J3" s="116"/>
      <c r="K3" s="116"/>
      <c r="L3" s="116"/>
      <c r="M3" s="116"/>
      <c r="N3" s="116"/>
      <c r="O3" s="116"/>
      <c r="P3" s="116"/>
      <c r="Q3" s="2"/>
      <c r="R3" s="2"/>
    </row>
    <row r="4" spans="1:18" ht="60.95" customHeight="1">
      <c r="A4" s="118"/>
      <c r="B4" s="119"/>
      <c r="C4" s="118"/>
      <c r="D4" s="118" t="s">
        <v>201</v>
      </c>
      <c r="E4" s="118"/>
      <c r="F4" s="118"/>
      <c r="G4" s="118" t="s">
        <v>202</v>
      </c>
      <c r="H4" s="19"/>
      <c r="I4" s="19"/>
      <c r="J4" s="19"/>
      <c r="K4" s="19"/>
      <c r="L4" s="19"/>
      <c r="M4" s="2"/>
      <c r="N4" s="2"/>
      <c r="O4" s="2"/>
      <c r="P4" s="2"/>
      <c r="Q4" s="2"/>
      <c r="R4" s="2"/>
    </row>
    <row r="5" spans="1:18" s="2" customFormat="1">
      <c r="A5" s="118"/>
      <c r="B5" s="119"/>
      <c r="C5" s="120"/>
      <c r="D5" s="120"/>
      <c r="E5" s="118"/>
      <c r="F5" s="119"/>
      <c r="G5" s="118"/>
    </row>
    <row r="6" spans="1:18" s="2" customFormat="1">
      <c r="B6" s="114"/>
      <c r="C6" s="117" t="s">
        <v>185</v>
      </c>
      <c r="D6" s="117" t="s">
        <v>194</v>
      </c>
      <c r="E6" s="2" t="s">
        <v>186</v>
      </c>
      <c r="F6" s="114"/>
      <c r="G6" s="2" t="s">
        <v>187</v>
      </c>
    </row>
    <row r="7" spans="1:18">
      <c r="A7" s="2"/>
      <c r="B7" s="114"/>
      <c r="C7" s="117" t="s">
        <v>185</v>
      </c>
      <c r="D7" s="117" t="s">
        <v>199</v>
      </c>
      <c r="E7" s="2" t="s">
        <v>196</v>
      </c>
      <c r="F7" s="114"/>
      <c r="G7" s="2" t="s">
        <v>197</v>
      </c>
      <c r="H7" s="2"/>
      <c r="I7" s="2"/>
      <c r="J7" s="2"/>
      <c r="K7" s="2"/>
      <c r="L7" s="2"/>
      <c r="M7" s="2"/>
      <c r="N7" s="2"/>
      <c r="O7" s="2"/>
      <c r="P7" s="2"/>
      <c r="Q7" s="2"/>
      <c r="R7" s="2"/>
    </row>
    <row r="8" spans="1:18">
      <c r="A8" s="2"/>
      <c r="B8" s="114"/>
      <c r="C8" s="117"/>
      <c r="D8" s="117"/>
      <c r="E8" s="2"/>
      <c r="F8" s="114"/>
      <c r="G8" s="2"/>
      <c r="H8" s="2"/>
      <c r="I8" s="2"/>
      <c r="J8" s="2"/>
      <c r="K8" s="2"/>
      <c r="L8" s="2"/>
      <c r="M8" s="2"/>
      <c r="N8" s="2"/>
      <c r="O8" s="2"/>
      <c r="P8" s="2"/>
      <c r="Q8" s="2"/>
      <c r="R8" s="2"/>
    </row>
    <row r="9" spans="1:18">
      <c r="A9" s="2"/>
      <c r="B9" s="114"/>
      <c r="C9" s="117" t="s">
        <v>188</v>
      </c>
      <c r="D9" s="117"/>
      <c r="F9" s="114"/>
      <c r="G9" s="2" t="s">
        <v>203</v>
      </c>
      <c r="H9" s="2"/>
      <c r="I9" s="2"/>
      <c r="J9" s="2"/>
      <c r="K9" s="2"/>
      <c r="L9" s="2"/>
      <c r="M9" s="2"/>
      <c r="N9" s="2"/>
      <c r="O9" s="2"/>
      <c r="P9" s="2"/>
      <c r="Q9" s="2"/>
      <c r="R9" s="2"/>
    </row>
    <row r="10" spans="1:18">
      <c r="A10" s="2"/>
      <c r="B10" s="114"/>
      <c r="C10" s="117" t="s">
        <v>188</v>
      </c>
      <c r="D10" s="117" t="s">
        <v>199</v>
      </c>
      <c r="E10" s="2" t="s">
        <v>198</v>
      </c>
      <c r="F10" s="114"/>
      <c r="G10" s="2" t="s">
        <v>200</v>
      </c>
      <c r="H10" s="2"/>
      <c r="I10" s="2"/>
      <c r="J10" s="2"/>
      <c r="K10" s="2"/>
      <c r="L10" s="2"/>
      <c r="M10" s="2"/>
      <c r="N10" s="2"/>
      <c r="O10" s="2"/>
      <c r="P10" s="2"/>
      <c r="Q10" s="2"/>
      <c r="R10" s="2"/>
    </row>
    <row r="11" spans="1:18">
      <c r="A11" s="2"/>
      <c r="B11" s="114"/>
      <c r="C11" s="117"/>
      <c r="D11" s="117"/>
      <c r="E11" s="2"/>
      <c r="F11" s="114"/>
      <c r="G11" s="2"/>
      <c r="H11" s="2"/>
      <c r="I11" s="2"/>
      <c r="J11" s="2"/>
      <c r="K11" s="2"/>
      <c r="L11" s="2"/>
      <c r="M11" s="2"/>
      <c r="N11" s="2"/>
      <c r="O11" s="2"/>
      <c r="P11" s="2"/>
      <c r="Q11" s="2"/>
      <c r="R11" s="2"/>
    </row>
    <row r="12" spans="1:18">
      <c r="A12" s="2"/>
      <c r="B12" s="114"/>
      <c r="C12" s="117" t="s">
        <v>189</v>
      </c>
      <c r="D12" s="117" t="s">
        <v>204</v>
      </c>
      <c r="E12" s="2" t="s">
        <v>205</v>
      </c>
      <c r="F12" s="114"/>
      <c r="G12" s="2" t="s">
        <v>206</v>
      </c>
      <c r="H12" s="2"/>
      <c r="I12" s="2"/>
      <c r="J12" s="2"/>
      <c r="K12" s="2"/>
      <c r="L12" s="2"/>
      <c r="M12" s="2"/>
      <c r="N12" s="2"/>
      <c r="O12" s="2"/>
      <c r="P12" s="2"/>
      <c r="Q12" s="2"/>
      <c r="R12" s="2"/>
    </row>
    <row r="13" spans="1:18">
      <c r="A13" s="2"/>
      <c r="B13" s="114"/>
      <c r="C13" s="117"/>
      <c r="D13" s="117"/>
      <c r="E13" s="2"/>
      <c r="F13" s="114"/>
      <c r="G13" s="2"/>
      <c r="H13" s="2"/>
      <c r="I13" s="2"/>
      <c r="J13" s="2"/>
      <c r="K13" s="2"/>
      <c r="L13" s="2"/>
      <c r="M13" s="2"/>
      <c r="N13" s="2"/>
      <c r="O13" s="2"/>
      <c r="P13" s="2"/>
      <c r="Q13" s="2"/>
      <c r="R13" s="2"/>
    </row>
    <row r="14" spans="1:18">
      <c r="A14" s="2"/>
      <c r="B14" s="114"/>
      <c r="C14" s="117" t="s">
        <v>190</v>
      </c>
      <c r="D14" s="117" t="s">
        <v>194</v>
      </c>
      <c r="E14" s="2">
        <v>2015</v>
      </c>
      <c r="F14" s="114"/>
      <c r="G14" s="2" t="s">
        <v>191</v>
      </c>
      <c r="H14" s="2"/>
      <c r="I14" s="2"/>
      <c r="J14" s="2"/>
      <c r="K14" s="2"/>
      <c r="L14" s="2"/>
      <c r="M14" s="2"/>
      <c r="N14" s="2"/>
      <c r="O14" s="2"/>
      <c r="P14" s="2"/>
      <c r="Q14" s="2"/>
      <c r="R14"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BO32"/>
  <sheetViews>
    <sheetView tabSelected="1" zoomScale="80" zoomScaleNormal="80" workbookViewId="0">
      <selection activeCell="O5" sqref="O5"/>
    </sheetView>
  </sheetViews>
  <sheetFormatPr defaultColWidth="9.140625" defaultRowHeight="20.100000000000001" customHeight="1"/>
  <cols>
    <col min="1" max="16384" width="9.140625" style="34"/>
  </cols>
  <sheetData>
    <row r="2" spans="2:67" s="37" customFormat="1" ht="26.1" customHeight="1">
      <c r="B2" s="38" t="s">
        <v>83</v>
      </c>
    </row>
    <row r="4" spans="2:67" ht="20.100000000000001" customHeight="1">
      <c r="B4" s="35" t="s">
        <v>215</v>
      </c>
      <c r="M4" s="36"/>
      <c r="O4" s="35" t="s">
        <v>216</v>
      </c>
      <c r="AB4" s="35" t="s">
        <v>217</v>
      </c>
      <c r="AE4" s="36"/>
      <c r="AN4" s="36"/>
      <c r="AO4" s="35" t="s">
        <v>219</v>
      </c>
      <c r="BD4" s="36"/>
      <c r="BO4" s="55"/>
    </row>
    <row r="27" spans="2:29" s="37" customFormat="1" ht="24.95" customHeight="1">
      <c r="B27" s="38" t="s">
        <v>82</v>
      </c>
    </row>
    <row r="29" spans="2:29" ht="20.100000000000001" customHeight="1">
      <c r="B29" s="35" t="s">
        <v>218</v>
      </c>
      <c r="P29" s="36"/>
      <c r="AC29" s="35"/>
    </row>
    <row r="30" spans="2:29" ht="20.100000000000001" customHeight="1">
      <c r="B30" s="36"/>
      <c r="O30" s="36"/>
      <c r="AC30" s="36"/>
    </row>
    <row r="32" spans="2:29" ht="20.100000000000001" customHeight="1">
      <c r="W32" s="35"/>
      <c r="X32" s="35"/>
    </row>
  </sheetData>
  <sortState ref="AY40:AZ52">
    <sortCondition descending="1" ref="AZ40:AZ5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AC46"/>
  <sheetViews>
    <sheetView zoomScale="80" zoomScaleNormal="80" workbookViewId="0">
      <selection activeCell="Y23" sqref="Y23"/>
    </sheetView>
  </sheetViews>
  <sheetFormatPr defaultColWidth="9.140625" defaultRowHeight="15"/>
  <cols>
    <col min="1" max="16384" width="9.140625" style="34"/>
  </cols>
  <sheetData>
    <row r="2" spans="2:22" ht="26.25">
      <c r="B2" s="35" t="s">
        <v>210</v>
      </c>
      <c r="L2" s="35" t="s">
        <v>211</v>
      </c>
      <c r="T2" s="36"/>
      <c r="V2" s="35" t="s">
        <v>212</v>
      </c>
    </row>
    <row r="22" spans="2:29" ht="26.25">
      <c r="C22" s="36"/>
    </row>
    <row r="23" spans="2:29" ht="26.25">
      <c r="B23" s="36"/>
      <c r="L23" s="36"/>
      <c r="V23" s="36"/>
      <c r="AC23" s="36"/>
    </row>
    <row r="24" spans="2:29" ht="18" customHeight="1">
      <c r="B24" s="35" t="s">
        <v>56</v>
      </c>
      <c r="L24" s="35" t="s">
        <v>57</v>
      </c>
      <c r="V24" s="36"/>
      <c r="AC24" s="36"/>
    </row>
    <row r="25" spans="2:29" ht="18.75">
      <c r="B25" s="35" t="s">
        <v>213</v>
      </c>
      <c r="L25" s="35" t="s">
        <v>214</v>
      </c>
    </row>
    <row r="46" spans="12:12" ht="26.25">
      <c r="L46" s="3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34"/>
  <sheetViews>
    <sheetView zoomScaleNormal="100" workbookViewId="0">
      <pane xSplit="1" topLeftCell="B1" activePane="topRight" state="frozen"/>
      <selection pane="topRight" activeCell="AH3" sqref="AH3"/>
    </sheetView>
  </sheetViews>
  <sheetFormatPr defaultRowHeight="15"/>
  <cols>
    <col min="1" max="1" width="19.42578125" customWidth="1"/>
    <col min="2" max="2" width="8.7109375" style="2" customWidth="1"/>
    <col min="3" max="5" width="16.85546875" customWidth="1"/>
    <col min="6" max="6" width="16.85546875" style="2" customWidth="1"/>
    <col min="7" max="8" width="16.85546875" customWidth="1"/>
    <col min="9" max="9" width="16.85546875" style="2" customWidth="1"/>
    <col min="10" max="11" width="15.7109375" customWidth="1"/>
    <col min="12" max="12" width="15.7109375" style="2" customWidth="1"/>
    <col min="13" max="15" width="15.7109375" customWidth="1"/>
    <col min="16" max="16" width="15.7109375" style="2" customWidth="1"/>
    <col min="17" max="34" width="15.7109375" customWidth="1"/>
  </cols>
  <sheetData>
    <row r="1" spans="1:37" s="19" customFormat="1" ht="15" customHeight="1">
      <c r="C1" s="21" t="s">
        <v>110</v>
      </c>
      <c r="D1" s="57" t="s">
        <v>110</v>
      </c>
      <c r="E1" s="20" t="s">
        <v>110</v>
      </c>
      <c r="F1" s="59" t="s">
        <v>39</v>
      </c>
      <c r="G1" s="59" t="s">
        <v>40</v>
      </c>
      <c r="H1" s="59" t="s">
        <v>33</v>
      </c>
      <c r="I1" s="59" t="s">
        <v>33</v>
      </c>
      <c r="J1" s="59" t="s">
        <v>84</v>
      </c>
      <c r="K1" s="59" t="s">
        <v>110</v>
      </c>
      <c r="L1" s="59" t="s">
        <v>85</v>
      </c>
      <c r="M1" s="62" t="s">
        <v>89</v>
      </c>
      <c r="N1" s="62" t="s">
        <v>86</v>
      </c>
      <c r="O1" s="62" t="s">
        <v>87</v>
      </c>
      <c r="P1" s="62" t="s">
        <v>87</v>
      </c>
      <c r="Q1" s="62" t="s">
        <v>88</v>
      </c>
      <c r="R1" s="56" t="s">
        <v>89</v>
      </c>
      <c r="S1" s="56" t="s">
        <v>90</v>
      </c>
      <c r="T1" s="56" t="s">
        <v>87</v>
      </c>
      <c r="U1" s="56" t="s">
        <v>88</v>
      </c>
      <c r="V1" s="65" t="s">
        <v>89</v>
      </c>
      <c r="W1" s="65" t="s">
        <v>90</v>
      </c>
      <c r="X1" s="65" t="s">
        <v>87</v>
      </c>
      <c r="Y1" s="65" t="s">
        <v>88</v>
      </c>
      <c r="Z1" s="22" t="s">
        <v>93</v>
      </c>
      <c r="AA1" s="22" t="s">
        <v>94</v>
      </c>
      <c r="AB1" s="22"/>
      <c r="AC1" s="59" t="s">
        <v>96</v>
      </c>
      <c r="AD1" s="59" t="s">
        <v>97</v>
      </c>
      <c r="AE1" s="68" t="s">
        <v>98</v>
      </c>
      <c r="AF1" s="34" t="s">
        <v>110</v>
      </c>
      <c r="AG1" s="34" t="s">
        <v>110</v>
      </c>
    </row>
    <row r="2" spans="1:37" s="19" customFormat="1" ht="57.75" customHeight="1">
      <c r="C2" s="21" t="s">
        <v>72</v>
      </c>
      <c r="D2" s="57" t="s">
        <v>38</v>
      </c>
      <c r="E2" s="20" t="s">
        <v>52</v>
      </c>
      <c r="F2" s="59" t="s">
        <v>111</v>
      </c>
      <c r="G2" s="59" t="s">
        <v>41</v>
      </c>
      <c r="H2" s="59" t="s">
        <v>80</v>
      </c>
      <c r="I2" s="59" t="s">
        <v>81</v>
      </c>
      <c r="J2" s="59" t="s">
        <v>112</v>
      </c>
      <c r="K2" s="59" t="s">
        <v>42</v>
      </c>
      <c r="L2" s="59" t="s">
        <v>53</v>
      </c>
      <c r="M2" s="62" t="s">
        <v>113</v>
      </c>
      <c r="N2" s="62" t="s">
        <v>114</v>
      </c>
      <c r="O2" s="62" t="s">
        <v>105</v>
      </c>
      <c r="P2" s="62" t="s">
        <v>109</v>
      </c>
      <c r="Q2" s="62" t="s">
        <v>106</v>
      </c>
      <c r="R2" s="56" t="s">
        <v>115</v>
      </c>
      <c r="S2" s="56" t="s">
        <v>116</v>
      </c>
      <c r="T2" s="56" t="s">
        <v>91</v>
      </c>
      <c r="U2" s="56" t="s">
        <v>92</v>
      </c>
      <c r="V2" s="65" t="s">
        <v>117</v>
      </c>
      <c r="W2" s="65" t="s">
        <v>118</v>
      </c>
      <c r="X2" s="65" t="s">
        <v>119</v>
      </c>
      <c r="Y2" s="65" t="s">
        <v>44</v>
      </c>
      <c r="Z2" s="22" t="s">
        <v>45</v>
      </c>
      <c r="AA2" s="22" t="s">
        <v>95</v>
      </c>
      <c r="AB2" s="22" t="s">
        <v>46</v>
      </c>
      <c r="AC2" s="59" t="s">
        <v>47</v>
      </c>
      <c r="AD2" s="59" t="s">
        <v>48</v>
      </c>
      <c r="AE2" s="68" t="s">
        <v>49</v>
      </c>
      <c r="AF2" s="68" t="s">
        <v>120</v>
      </c>
      <c r="AG2" s="68" t="s">
        <v>121</v>
      </c>
    </row>
    <row r="3" spans="1:37">
      <c r="A3" s="17" t="s">
        <v>1</v>
      </c>
      <c r="B3" s="17" t="s">
        <v>58</v>
      </c>
      <c r="C3" s="42">
        <f>AVERAGE('Asset cost'!I6:M6)</f>
        <v>88128.153923563848</v>
      </c>
      <c r="D3" s="58">
        <f>AVERAGE(Opex!I26:M26)</f>
        <v>66907.907159370807</v>
      </c>
      <c r="E3" s="39">
        <f>C3+D3</f>
        <v>155036.06108293467</v>
      </c>
      <c r="F3" s="60">
        <f>AVERAGE('Physical data'!I48:M48)</f>
        <v>692.52520000000004</v>
      </c>
      <c r="G3" s="61">
        <f>AVERAGE('Physical data'!I33:M33)</f>
        <v>2871401.609518982</v>
      </c>
      <c r="H3" s="61">
        <f>AVERAGE('Physical data'!I3:M3)</f>
        <v>4069.5975999999996</v>
      </c>
      <c r="I3" s="61">
        <f>AVERAGE('Physical data'!I78:M78)</f>
        <v>5198.4609527981584</v>
      </c>
      <c r="J3" s="61">
        <f>AVERAGE('Physical data'!I18:M18)</f>
        <v>179192.7</v>
      </c>
      <c r="K3" s="61">
        <f>AVERAGE(RAB!I26:M26)</f>
        <v>879043.84129515383</v>
      </c>
      <c r="L3" s="60">
        <f>J3/H3</f>
        <v>44.032043856129668</v>
      </c>
      <c r="M3" s="63">
        <f>$E3/F3*1000</f>
        <v>223870.64193900043</v>
      </c>
      <c r="N3" s="63">
        <f>$E3/G3*1000</f>
        <v>53.993165069273033</v>
      </c>
      <c r="O3" s="63">
        <f>$E3/H3*1000</f>
        <v>38096.164859870834</v>
      </c>
      <c r="P3" s="63">
        <f>E3/I3*1000</f>
        <v>29823.453997376648</v>
      </c>
      <c r="Q3" s="63">
        <f>$E3/J3*1000</f>
        <v>865.19183584451071</v>
      </c>
      <c r="R3" s="64">
        <f>$C3/F3*1000</f>
        <v>127256.24125095208</v>
      </c>
      <c r="S3" s="64">
        <f>$C3/G3*1000</f>
        <v>30.691685075125072</v>
      </c>
      <c r="T3" s="64">
        <f>$C3/H3*1000</f>
        <v>21655.250121919635</v>
      </c>
      <c r="U3" s="64">
        <f>$C3/J3*1000</f>
        <v>491.80660776674404</v>
      </c>
      <c r="V3" s="66">
        <f>$D3/F3*1000</f>
        <v>96614.400688048321</v>
      </c>
      <c r="W3" s="66">
        <f>$D3/G3*1000</f>
        <v>23.301479994147957</v>
      </c>
      <c r="X3" s="66">
        <f>$D3/H3*1000</f>
        <v>16440.914737951196</v>
      </c>
      <c r="Y3" s="66">
        <f>$D3/J3*1000</f>
        <v>373.38522807776661</v>
      </c>
      <c r="Z3" s="43">
        <f>F3/J3*1000</f>
        <v>3.8646953810060345</v>
      </c>
      <c r="AA3" s="43">
        <f t="shared" ref="AA3:AA15" si="0">G3/J3</f>
        <v>16.024099249126678</v>
      </c>
      <c r="AB3" s="43">
        <f>Z3*24*365/AA3/1000</f>
        <v>2.1127385078732561</v>
      </c>
      <c r="AC3" s="67">
        <f>AVERAGE(Reliability!I3:M3)</f>
        <v>31.19443240088945</v>
      </c>
      <c r="AD3" s="67">
        <f>AVERAGE(Reliability!I18:M18)</f>
        <v>0.59950230425708495</v>
      </c>
      <c r="AE3" s="69">
        <f>AVERAGE(Reliability!I33:M33)</f>
        <v>52.084245060243767</v>
      </c>
      <c r="AF3" s="46">
        <f>-AVERAGE(Depreciation!I26:M26)</f>
        <v>50290.987784183395</v>
      </c>
      <c r="AG3" s="46">
        <f>'Asset cost'!$B$2*AVERAGE(RAB!I26:M26)</f>
        <v>37837.166139380446</v>
      </c>
      <c r="AH3" s="77"/>
      <c r="AI3" s="77"/>
      <c r="AJ3" s="92"/>
      <c r="AK3" s="92"/>
    </row>
    <row r="4" spans="1:37">
      <c r="A4" s="17" t="s">
        <v>78</v>
      </c>
      <c r="B4" s="17" t="s">
        <v>59</v>
      </c>
      <c r="C4" s="42">
        <f>AVERAGE('Asset cost'!I7:M7)</f>
        <v>1041776.5017328853</v>
      </c>
      <c r="D4" s="58">
        <f>AVERAGE(Opex!I27:M27)</f>
        <v>595156.14987218974</v>
      </c>
      <c r="E4" s="39">
        <f t="shared" ref="E4:E15" si="1">C4+D4</f>
        <v>1636932.651605075</v>
      </c>
      <c r="F4" s="60">
        <f>AVERAGE('Physical data'!I49:M49)</f>
        <v>5658.8159028135724</v>
      </c>
      <c r="G4" s="61">
        <f>AVERAGE('Physical data'!I34:M34)</f>
        <v>26490797.626566835</v>
      </c>
      <c r="H4" s="61">
        <f>AVERAGE('Physical data'!I4:M4)</f>
        <v>37698.929541975253</v>
      </c>
      <c r="I4" s="61">
        <f>AVERAGE('Physical data'!I79:M79)</f>
        <v>41136.965443260851</v>
      </c>
      <c r="J4" s="61">
        <f>AVERAGE('Physical data'!I19:M19)</f>
        <v>1653142.1441316931</v>
      </c>
      <c r="K4" s="61">
        <f>AVERAGE(RAB!I27:M27)</f>
        <v>13164138.817819532</v>
      </c>
      <c r="L4" s="60">
        <f>J4/H4</f>
        <v>43.85116936254196</v>
      </c>
      <c r="M4" s="63">
        <f t="shared" ref="M4:M14" si="2">$E4/F4*1000</f>
        <v>289271.23266038566</v>
      </c>
      <c r="N4" s="63">
        <f t="shared" ref="N4:N15" si="3">$E4/G4*1000</f>
        <v>61.792501482229582</v>
      </c>
      <c r="O4" s="63">
        <f t="shared" ref="O4:O15" si="4">$E4/H4*1000</f>
        <v>43421.197139893833</v>
      </c>
      <c r="P4" s="63">
        <f t="shared" ref="P4:P15" si="5">E4/I4*1000</f>
        <v>39792.255796379868</v>
      </c>
      <c r="Q4" s="63">
        <f t="shared" ref="Q4:Q15" si="6">$E4/J4*1000</f>
        <v>990.19473758856225</v>
      </c>
      <c r="R4" s="64">
        <f t="shared" ref="R4:R15" si="7">$C4/F4*1000</f>
        <v>184097.96671683775</v>
      </c>
      <c r="S4" s="64">
        <f t="shared" ref="S4:S15" si="8">$C4/G4*1000</f>
        <v>39.325977134343383</v>
      </c>
      <c r="T4" s="64">
        <f t="shared" ref="T4:T15" si="9">$C4/H4*1000</f>
        <v>27634.113604550399</v>
      </c>
      <c r="U4" s="64">
        <f t="shared" ref="U4:U15" si="10">$C4/J4*1000</f>
        <v>630.17962818924718</v>
      </c>
      <c r="V4" s="66">
        <f t="shared" ref="V4:V15" si="11">$D4/F4*1000</f>
        <v>105173.26594354786</v>
      </c>
      <c r="W4" s="66">
        <f t="shared" ref="W4:W15" si="12">$D4/G4*1000</f>
        <v>22.4665243478862</v>
      </c>
      <c r="X4" s="66">
        <f>$D4/H4*1000</f>
        <v>15787.083535343434</v>
      </c>
      <c r="Y4" s="66">
        <f t="shared" ref="Y4:Y15" si="13">$D4/J4*1000</f>
        <v>360.01510939931507</v>
      </c>
      <c r="Z4" s="43">
        <f>F4/J4*1000</f>
        <v>3.4230667477090089</v>
      </c>
      <c r="AA4" s="43">
        <f t="shared" si="0"/>
        <v>16.024512907497758</v>
      </c>
      <c r="AB4" s="43">
        <f t="shared" ref="AB4:AB15" si="14">Z4*24*365/AA4/1000</f>
        <v>1.8712621645991281</v>
      </c>
      <c r="AC4" s="67">
        <f>AVERAGE(Reliability!I4:M4)</f>
        <v>74.163373108702515</v>
      </c>
      <c r="AD4" s="67">
        <f>AVERAGE(Reliability!I19:M19)</f>
        <v>0.7656896945860191</v>
      </c>
      <c r="AE4" s="69">
        <f>AVERAGE(Reliability!I34:M34)</f>
        <v>97.440720395813074</v>
      </c>
      <c r="AF4" s="46">
        <f>-AVERAGE(Depreciation!I27:M27)</f>
        <v>475145.25522095896</v>
      </c>
      <c r="AG4" s="46">
        <f>'Asset cost'!$B$2*AVERAGE(RAB!I27:M27)</f>
        <v>566631.24651192629</v>
      </c>
      <c r="AH4" s="77"/>
      <c r="AI4" s="77"/>
      <c r="AJ4" s="92"/>
      <c r="AK4" s="92"/>
    </row>
    <row r="5" spans="1:37">
      <c r="A5" s="17" t="s">
        <v>2</v>
      </c>
      <c r="B5" s="17" t="s">
        <v>60</v>
      </c>
      <c r="C5" s="42">
        <f>AVERAGE('Asset cost'!I8:M8)</f>
        <v>128183.49789763844</v>
      </c>
      <c r="D5" s="58">
        <f>AVERAGE(Opex!I28:M28)</f>
        <v>57780.03617730971</v>
      </c>
      <c r="E5" s="39">
        <f t="shared" si="1"/>
        <v>185963.53407494817</v>
      </c>
      <c r="F5" s="60">
        <f>AVERAGE('Physical data'!I50:M50)</f>
        <v>1372.6374878400002</v>
      </c>
      <c r="G5" s="61">
        <f>AVERAGE('Physical data'!I35:M35)</f>
        <v>5961412.0413223486</v>
      </c>
      <c r="H5" s="61">
        <f>AVERAGE('Physical data'!I5:M5)</f>
        <v>3162.1522165183424</v>
      </c>
      <c r="I5" s="61">
        <f>AVERAGE('Physical data'!I80:M80)</f>
        <v>4435.6306162000201</v>
      </c>
      <c r="J5" s="61">
        <f>AVERAGE('Physical data'!I20:M20)</f>
        <v>326254.67246966285</v>
      </c>
      <c r="K5" s="61">
        <f>AVERAGE(RAB!I28:M28)</f>
        <v>1377199.3593061545</v>
      </c>
      <c r="L5" s="60">
        <f t="shared" ref="L5:L14" si="15">J5/H5</f>
        <v>103.17487904768937</v>
      </c>
      <c r="M5" s="63">
        <f t="shared" si="2"/>
        <v>135478.98532742448</v>
      </c>
      <c r="N5" s="63">
        <f t="shared" si="3"/>
        <v>31.194544645784642</v>
      </c>
      <c r="O5" s="63">
        <f t="shared" si="4"/>
        <v>58809.16582810854</v>
      </c>
      <c r="P5" s="63">
        <f t="shared" si="5"/>
        <v>41924.936985456668</v>
      </c>
      <c r="Q5" s="63">
        <f t="shared" si="6"/>
        <v>569.99500625463133</v>
      </c>
      <c r="R5" s="64">
        <f t="shared" si="7"/>
        <v>93384.815024504118</v>
      </c>
      <c r="S5" s="64">
        <f t="shared" si="8"/>
        <v>21.502204009573049</v>
      </c>
      <c r="T5" s="64">
        <f t="shared" si="9"/>
        <v>40536.789224768465</v>
      </c>
      <c r="U5" s="64">
        <f t="shared" si="10"/>
        <v>392.89398348634444</v>
      </c>
      <c r="V5" s="66">
        <f t="shared" si="11"/>
        <v>42094.170302920342</v>
      </c>
      <c r="W5" s="66">
        <f t="shared" si="12"/>
        <v>9.6923406362115951</v>
      </c>
      <c r="X5" s="66">
        <f t="shared" ref="X5:X15" si="16">$D5/H5*1000</f>
        <v>18272.376603340075</v>
      </c>
      <c r="Y5" s="66">
        <f t="shared" si="13"/>
        <v>177.10102276828678</v>
      </c>
      <c r="Z5" s="43">
        <f>F5/J5*1000</f>
        <v>4.2072577151140615</v>
      </c>
      <c r="AA5" s="43">
        <f t="shared" si="0"/>
        <v>18.272265638974648</v>
      </c>
      <c r="AB5" s="43">
        <f t="shared" si="14"/>
        <v>2.0170228647391393</v>
      </c>
      <c r="AC5" s="67">
        <f>AVERAGE(Reliability!I5:M5)</f>
        <v>28.291369737893739</v>
      </c>
      <c r="AD5" s="67">
        <f>AVERAGE(Reliability!I20:M20)</f>
        <v>0.41393842314852058</v>
      </c>
      <c r="AE5" s="69">
        <f>AVERAGE(Reliability!I35:M35)</f>
        <v>68.440539400816093</v>
      </c>
      <c r="AF5" s="46">
        <f>-AVERAGE(Depreciation!I28:M28)</f>
        <v>68903.950601864039</v>
      </c>
      <c r="AG5" s="46">
        <f>'Asset cost'!$B$2*AVERAGE(RAB!I28:M28)</f>
        <v>59279.547295774399</v>
      </c>
      <c r="AH5" s="77"/>
      <c r="AI5" s="77"/>
      <c r="AJ5" s="92"/>
      <c r="AK5" s="92"/>
    </row>
    <row r="6" spans="1:37">
      <c r="A6" s="17" t="s">
        <v>3</v>
      </c>
      <c r="B6" s="17" t="s">
        <v>61</v>
      </c>
      <c r="C6" s="42">
        <f>AVERAGE('Asset cost'!I9:M9)</f>
        <v>413059.09426823974</v>
      </c>
      <c r="D6" s="58">
        <f>AVERAGE(Opex!I29:M29)</f>
        <v>274544.01970959204</v>
      </c>
      <c r="E6" s="39">
        <f t="shared" si="1"/>
        <v>687603.11397783179</v>
      </c>
      <c r="F6" s="60">
        <f>AVERAGE('Physical data'!I51:M51)</f>
        <v>3650.637284139968</v>
      </c>
      <c r="G6" s="61">
        <f>AVERAGE('Physical data'!I36:M36)</f>
        <v>16183271.280372387</v>
      </c>
      <c r="H6" s="61">
        <f>AVERAGE('Physical data'!I6:M6)</f>
        <v>27947.65</v>
      </c>
      <c r="I6" s="61">
        <f>AVERAGE('Physical data'!I81:M81)</f>
        <v>35512.406323800002</v>
      </c>
      <c r="J6" s="61">
        <f>AVERAGE('Physical data'!I21:M21)</f>
        <v>937469.40245849104</v>
      </c>
      <c r="K6" s="61">
        <f>AVERAGE(RAB!I29:M29)</f>
        <v>4744996.057471877</v>
      </c>
      <c r="L6" s="60">
        <f t="shared" si="15"/>
        <v>33.543764948340595</v>
      </c>
      <c r="M6" s="63">
        <f t="shared" si="2"/>
        <v>188351.52891389487</v>
      </c>
      <c r="N6" s="63">
        <f t="shared" si="3"/>
        <v>42.488511875332641</v>
      </c>
      <c r="O6" s="63">
        <f t="shared" si="4"/>
        <v>24603.25336755798</v>
      </c>
      <c r="P6" s="63">
        <f t="shared" si="5"/>
        <v>19362.335171216157</v>
      </c>
      <c r="Q6" s="63">
        <f t="shared" si="6"/>
        <v>733.46726002428352</v>
      </c>
      <c r="R6" s="64">
        <f t="shared" si="7"/>
        <v>113147.11983651642</v>
      </c>
      <c r="S6" s="64">
        <f t="shared" si="8"/>
        <v>25.523831808295249</v>
      </c>
      <c r="T6" s="64">
        <f t="shared" si="9"/>
        <v>14779.743351166904</v>
      </c>
      <c r="U6" s="64">
        <f t="shared" si="10"/>
        <v>440.61074759880393</v>
      </c>
      <c r="V6" s="66">
        <f t="shared" si="11"/>
        <v>75204.409077378456</v>
      </c>
      <c r="W6" s="66">
        <f t="shared" si="12"/>
        <v>16.964680067037385</v>
      </c>
      <c r="X6" s="66">
        <f t="shared" si="16"/>
        <v>9823.5100163910756</v>
      </c>
      <c r="Y6" s="66">
        <f t="shared" si="13"/>
        <v>292.85651242547959</v>
      </c>
      <c r="Z6" s="43">
        <f t="shared" ref="Z6:Z15" si="17">F6/J6*1000</f>
        <v>3.8941401976067267</v>
      </c>
      <c r="AA6" s="43">
        <f t="shared" si="0"/>
        <v>17.262719442290219</v>
      </c>
      <c r="AB6" s="43">
        <f t="shared" si="14"/>
        <v>1.9760888917342705</v>
      </c>
      <c r="AC6" s="67">
        <f>AVERAGE(Reliability!I6:M6)</f>
        <v>91.646606190498034</v>
      </c>
      <c r="AD6" s="67">
        <f>AVERAGE(Reliability!I21:M21)</f>
        <v>1.0351155301360775</v>
      </c>
      <c r="AE6" s="69">
        <f>AVERAGE(Reliability!I36:M36)</f>
        <v>88.989307701187229</v>
      </c>
      <c r="AF6" s="46">
        <f>-AVERAGE(Depreciation!I29:M29)</f>
        <v>208817.62675196148</v>
      </c>
      <c r="AG6" s="46">
        <f>'Asset cost'!$B$2*AVERAGE(RAB!I29:M29)</f>
        <v>204241.46751627827</v>
      </c>
      <c r="AH6" s="77"/>
      <c r="AI6" s="77"/>
      <c r="AJ6" s="92"/>
      <c r="AK6" s="92"/>
    </row>
    <row r="7" spans="1:37">
      <c r="A7" s="17" t="s">
        <v>4</v>
      </c>
      <c r="B7" s="17" t="s">
        <v>62</v>
      </c>
      <c r="C7" s="42">
        <f>AVERAGE('Asset cost'!I10:M10)</f>
        <v>624513.19572809548</v>
      </c>
      <c r="D7" s="58">
        <f>AVERAGE(Opex!I30:M30)</f>
        <v>386525.25074690796</v>
      </c>
      <c r="E7" s="39">
        <f t="shared" si="1"/>
        <v>1011038.4464750034</v>
      </c>
      <c r="F7" s="60">
        <f>AVERAGE('Physical data'!I52:M52)</f>
        <v>4677.9351217467047</v>
      </c>
      <c r="G7" s="61">
        <f>AVERAGE('Physical data'!I37:M37)</f>
        <v>21079133.289242603</v>
      </c>
      <c r="H7" s="61">
        <f>AVERAGE('Physical data'!I7:M7)</f>
        <v>42896.232799999998</v>
      </c>
      <c r="I7" s="61">
        <f>AVERAGE('Physical data'!I82:M82)</f>
        <v>52197.326199999996</v>
      </c>
      <c r="J7" s="61">
        <f>AVERAGE('Physical data'!I22:M22)</f>
        <v>1379754.4</v>
      </c>
      <c r="K7" s="61">
        <f>AVERAGE(RAB!I30:M30)</f>
        <v>7605981.6590619581</v>
      </c>
      <c r="L7" s="60">
        <f t="shared" si="15"/>
        <v>32.164931741978052</v>
      </c>
      <c r="M7" s="63">
        <f t="shared" si="2"/>
        <v>216129.21516908286</v>
      </c>
      <c r="N7" s="63">
        <f t="shared" si="3"/>
        <v>47.96394769186125</v>
      </c>
      <c r="O7" s="63">
        <f t="shared" si="4"/>
        <v>23569.399466589137</v>
      </c>
      <c r="P7" s="63">
        <f t="shared" si="5"/>
        <v>19369.544765589992</v>
      </c>
      <c r="Q7" s="63">
        <f t="shared" si="6"/>
        <v>732.76696669711907</v>
      </c>
      <c r="R7" s="64">
        <f t="shared" si="7"/>
        <v>133501.8933513783</v>
      </c>
      <c r="S7" s="64">
        <f t="shared" si="8"/>
        <v>29.627081301620962</v>
      </c>
      <c r="T7" s="64">
        <f t="shared" si="9"/>
        <v>14558.695600143599</v>
      </c>
      <c r="U7" s="64">
        <f t="shared" si="10"/>
        <v>452.62634837627303</v>
      </c>
      <c r="V7" s="66">
        <f t="shared" si="11"/>
        <v>82627.321817704564</v>
      </c>
      <c r="W7" s="66">
        <f t="shared" si="12"/>
        <v>18.336866390240292</v>
      </c>
      <c r="X7" s="66">
        <f t="shared" si="16"/>
        <v>9010.7038664455395</v>
      </c>
      <c r="Y7" s="66">
        <f t="shared" si="13"/>
        <v>280.1406183208461</v>
      </c>
      <c r="Z7" s="43">
        <f t="shared" si="17"/>
        <v>3.3904114542027952</v>
      </c>
      <c r="AA7" s="43">
        <f t="shared" si="0"/>
        <v>15.277453211414006</v>
      </c>
      <c r="AB7" s="43">
        <f t="shared" si="14"/>
        <v>1.9440415838830511</v>
      </c>
      <c r="AC7" s="67">
        <f>AVERAGE(Reliability!I7:M7)</f>
        <v>72.00679543604636</v>
      </c>
      <c r="AD7" s="67">
        <f>AVERAGE(Reliability!I22:M22)</f>
        <v>0.88021360804404281</v>
      </c>
      <c r="AE7" s="69">
        <f>AVERAGE(Reliability!I37:M37)</f>
        <v>81.705812292660113</v>
      </c>
      <c r="AF7" s="46">
        <f>-AVERAGE(Depreciation!I30:M30)</f>
        <v>297124.75596269144</v>
      </c>
      <c r="AG7" s="46">
        <f>'Asset cost'!$B$2*AVERAGE(RAB!I30:M30)</f>
        <v>327388.43976540404</v>
      </c>
      <c r="AH7" s="77"/>
      <c r="AI7" s="77"/>
      <c r="AJ7" s="92"/>
      <c r="AK7" s="92"/>
    </row>
    <row r="8" spans="1:37">
      <c r="A8" s="17" t="s">
        <v>10</v>
      </c>
      <c r="B8" s="17" t="s">
        <v>63</v>
      </c>
      <c r="C8" s="42">
        <f>AVERAGE('Asset cost'!I11:M11)</f>
        <v>632700.64740267524</v>
      </c>
      <c r="D8" s="58">
        <f>AVERAGE(Opex!I31:M31)</f>
        <v>363425.97047643329</v>
      </c>
      <c r="E8" s="39">
        <f t="shared" si="1"/>
        <v>996126.61787910853</v>
      </c>
      <c r="F8" s="60">
        <f>AVERAGE('Physical data'!I53:M53)</f>
        <v>3123.7083982933045</v>
      </c>
      <c r="G8" s="61">
        <f>AVERAGE('Physical data'!I38:M38)</f>
        <v>13661402.365593005</v>
      </c>
      <c r="H8" s="61">
        <f>AVERAGE('Physical data'!I8:M8)</f>
        <v>141224.78730000003</v>
      </c>
      <c r="I8" s="61">
        <f>AVERAGE('Physical data'!I83:M83)</f>
        <v>152011.2357266809</v>
      </c>
      <c r="J8" s="61">
        <f>AVERAGE('Physical data'!I23:M23)</f>
        <v>719853.8</v>
      </c>
      <c r="K8" s="61">
        <f>AVERAGE(RAB!I31:M31)</f>
        <v>7366906.5465900581</v>
      </c>
      <c r="L8" s="60">
        <f t="shared" si="15"/>
        <v>5.097219926915761</v>
      </c>
      <c r="M8" s="63">
        <f t="shared" si="2"/>
        <v>318892.31991800532</v>
      </c>
      <c r="N8" s="63">
        <f t="shared" si="3"/>
        <v>72.915399987625605</v>
      </c>
      <c r="O8" s="63">
        <f t="shared" si="4"/>
        <v>7053.4828688611406</v>
      </c>
      <c r="P8" s="63">
        <f t="shared" si="5"/>
        <v>6552.9801998989287</v>
      </c>
      <c r="Q8" s="63">
        <f>$E8/J8*1000</f>
        <v>1383.7901777820837</v>
      </c>
      <c r="R8" s="64">
        <f t="shared" si="7"/>
        <v>202547.9227665306</v>
      </c>
      <c r="S8" s="64">
        <f t="shared" si="8"/>
        <v>46.31300875788321</v>
      </c>
      <c r="T8" s="64">
        <f t="shared" si="9"/>
        <v>4480.0963024900593</v>
      </c>
      <c r="U8" s="64">
        <f t="shared" si="10"/>
        <v>878.92937066203615</v>
      </c>
      <c r="V8" s="66">
        <f t="shared" si="11"/>
        <v>116344.39715147475</v>
      </c>
      <c r="W8" s="66">
        <f t="shared" si="12"/>
        <v>26.602391229742388</v>
      </c>
      <c r="X8" s="66">
        <f t="shared" si="16"/>
        <v>2573.3865663710808</v>
      </c>
      <c r="Y8" s="66">
        <f t="shared" si="13"/>
        <v>504.86080712004753</v>
      </c>
      <c r="Z8" s="43">
        <f t="shared" si="17"/>
        <v>4.3393650186931074</v>
      </c>
      <c r="AA8" s="43">
        <f t="shared" si="0"/>
        <v>18.978023545326849</v>
      </c>
      <c r="AB8" s="43">
        <f t="shared" si="14"/>
        <v>2.0029924334829854</v>
      </c>
      <c r="AC8" s="67">
        <f>AVERAGE(Reliability!I8:M8)</f>
        <v>269.90118000000001</v>
      </c>
      <c r="AD8" s="67">
        <f>AVERAGE(Reliability!I23:M23)</f>
        <v>2.49254</v>
      </c>
      <c r="AE8" s="69">
        <f>AVERAGE(Reliability!I38:M38)</f>
        <v>108.12623802222397</v>
      </c>
      <c r="AF8" s="46">
        <f>-AVERAGE(Depreciation!I31:M31)</f>
        <v>315602.84881514747</v>
      </c>
      <c r="AG8" s="46">
        <f>'Asset cost'!$B$2*AVERAGE(RAB!I31:M31)</f>
        <v>317097.79858752788</v>
      </c>
      <c r="AH8" s="77"/>
      <c r="AI8" s="77"/>
      <c r="AJ8" s="92"/>
      <c r="AK8" s="92"/>
    </row>
    <row r="9" spans="1:37">
      <c r="A9" s="17" t="s">
        <v>5</v>
      </c>
      <c r="B9" s="17" t="s">
        <v>64</v>
      </c>
      <c r="C9" s="42">
        <f>AVERAGE('Asset cost'!I12:M12)</f>
        <v>576385.55513192317</v>
      </c>
      <c r="D9" s="58">
        <f>AVERAGE(Opex!I32:M32)</f>
        <v>407755.4928487101</v>
      </c>
      <c r="E9" s="39">
        <f t="shared" si="1"/>
        <v>984141.04798063333</v>
      </c>
      <c r="F9" s="60">
        <f>AVERAGE('Physical data'!I54:M54)</f>
        <v>2713.1128120139847</v>
      </c>
      <c r="G9" s="61">
        <f>AVERAGE('Physical data'!I39:M39)</f>
        <v>12151629.989633949</v>
      </c>
      <c r="H9" s="61">
        <f>AVERAGE('Physical data'!I9:M9)</f>
        <v>180996.36859999999</v>
      </c>
      <c r="I9" s="61">
        <f>AVERAGE('Physical data'!I84:M84)</f>
        <v>191300.53773853375</v>
      </c>
      <c r="J9" s="61">
        <f>AVERAGE('Physical data'!I24:M24)</f>
        <v>856585.1</v>
      </c>
      <c r="K9" s="61">
        <f>AVERAGE(RAB!I32:M32)</f>
        <v>6647123.6112402948</v>
      </c>
      <c r="L9" s="60">
        <f t="shared" si="15"/>
        <v>4.7326093149031276</v>
      </c>
      <c r="M9" s="63">
        <f t="shared" si="2"/>
        <v>362735.02658007445</v>
      </c>
      <c r="N9" s="63">
        <f t="shared" si="3"/>
        <v>80.988398167172889</v>
      </c>
      <c r="O9" s="63">
        <f t="shared" si="4"/>
        <v>5437.3524485210773</v>
      </c>
      <c r="P9" s="63">
        <f t="shared" si="5"/>
        <v>5144.476119171919</v>
      </c>
      <c r="Q9" s="63">
        <f t="shared" si="6"/>
        <v>1148.9121722764421</v>
      </c>
      <c r="R9" s="64">
        <f t="shared" si="7"/>
        <v>212444.37480801379</v>
      </c>
      <c r="S9" s="64">
        <f t="shared" si="8"/>
        <v>47.432776970958933</v>
      </c>
      <c r="T9" s="64">
        <f t="shared" si="9"/>
        <v>3184.5144717004182</v>
      </c>
      <c r="U9" s="64">
        <f t="shared" si="10"/>
        <v>672.88767354454706</v>
      </c>
      <c r="V9" s="66">
        <f t="shared" si="11"/>
        <v>150290.65177206066</v>
      </c>
      <c r="W9" s="66">
        <f t="shared" si="12"/>
        <v>33.555621196213956</v>
      </c>
      <c r="X9" s="66">
        <f t="shared" si="16"/>
        <v>2252.8379768206582</v>
      </c>
      <c r="Y9" s="66">
        <f t="shared" si="13"/>
        <v>476.02449873189494</v>
      </c>
      <c r="Z9" s="43">
        <f t="shared" si="17"/>
        <v>3.1673593341910626</v>
      </c>
      <c r="AA9" s="43">
        <f t="shared" si="0"/>
        <v>14.186132807626411</v>
      </c>
      <c r="AB9" s="43">
        <f t="shared" si="14"/>
        <v>1.9558584530237537</v>
      </c>
      <c r="AC9" s="67">
        <f>AVERAGE(Reliability!I9:M9)</f>
        <v>217.3833566460988</v>
      </c>
      <c r="AD9" s="67">
        <f>AVERAGE(Reliability!I24:M24)</f>
        <v>1.8858405016851578</v>
      </c>
      <c r="AE9" s="69">
        <f>AVERAGE(Reliability!I39:M39)</f>
        <v>115.32093354547132</v>
      </c>
      <c r="AF9" s="46">
        <f>-AVERAGE(Depreciation!I32:M32)</f>
        <v>290269.76816851797</v>
      </c>
      <c r="AG9" s="46">
        <f>'Asset cost'!$B$2*AVERAGE(RAB!I32:M32)</f>
        <v>286115.78696340515</v>
      </c>
      <c r="AH9" s="77"/>
      <c r="AI9" s="77"/>
      <c r="AJ9" s="92"/>
      <c r="AK9" s="92"/>
    </row>
    <row r="10" spans="1:37">
      <c r="A10" s="17" t="s">
        <v>6</v>
      </c>
      <c r="B10" s="17" t="s">
        <v>65</v>
      </c>
      <c r="C10" s="42">
        <f>AVERAGE('Asset cost'!I13:M13)</f>
        <v>102074.57376747583</v>
      </c>
      <c r="D10" s="58">
        <f>AVERAGE(Opex!I33:M33)</f>
        <v>75458.350748646568</v>
      </c>
      <c r="E10" s="39">
        <f>C10+D10</f>
        <v>177532.92451612238</v>
      </c>
      <c r="F10" s="60">
        <f>AVERAGE('Physical data'!I55:M55)</f>
        <v>949.2354763748001</v>
      </c>
      <c r="G10" s="61">
        <f>AVERAGE('Physical data'!I40:M40)</f>
        <v>4230686.3754000003</v>
      </c>
      <c r="H10" s="61">
        <f>AVERAGE('Physical data'!I10:M10)</f>
        <v>4435.791867890719</v>
      </c>
      <c r="I10" s="61">
        <f>AVERAGE('Physical data'!I85:M85)</f>
        <v>6189.0183568508846</v>
      </c>
      <c r="J10" s="61">
        <f>AVERAGE('Physical data'!I25:M25)</f>
        <v>320622.40000000002</v>
      </c>
      <c r="K10" s="61">
        <f>AVERAGE(RAB!I33:M33)</f>
        <v>959318.16429778037</v>
      </c>
      <c r="L10" s="60">
        <f t="shared" si="15"/>
        <v>72.280758328830345</v>
      </c>
      <c r="M10" s="63">
        <f t="shared" si="2"/>
        <v>187027.27503836417</v>
      </c>
      <c r="N10" s="63">
        <f t="shared" si="3"/>
        <v>41.963149419067278</v>
      </c>
      <c r="O10" s="63">
        <f t="shared" si="4"/>
        <v>40022.825642750853</v>
      </c>
      <c r="P10" s="63">
        <f t="shared" si="5"/>
        <v>28685.150742783586</v>
      </c>
      <c r="Q10" s="63">
        <f t="shared" si="6"/>
        <v>553.71341651775538</v>
      </c>
      <c r="R10" s="64">
        <f t="shared" si="7"/>
        <v>107533.45856531418</v>
      </c>
      <c r="S10" s="64">
        <f t="shared" si="8"/>
        <v>24.127189942748934</v>
      </c>
      <c r="T10" s="64">
        <f t="shared" si="9"/>
        <v>23011.578723149993</v>
      </c>
      <c r="U10" s="64">
        <f t="shared" si="10"/>
        <v>318.36382538299199</v>
      </c>
      <c r="V10" s="66">
        <f t="shared" si="11"/>
        <v>79493.816473050014</v>
      </c>
      <c r="W10" s="66">
        <f t="shared" si="12"/>
        <v>17.835959476318351</v>
      </c>
      <c r="X10" s="66">
        <f t="shared" si="16"/>
        <v>17011.246919600868</v>
      </c>
      <c r="Y10" s="66">
        <f t="shared" si="13"/>
        <v>235.34959113476339</v>
      </c>
      <c r="Z10" s="43">
        <f t="shared" si="17"/>
        <v>2.960602491824651</v>
      </c>
      <c r="AA10" s="43">
        <f t="shared" si="0"/>
        <v>13.19523020038525</v>
      </c>
      <c r="AB10" s="43">
        <f t="shared" si="14"/>
        <v>1.9654736927307821</v>
      </c>
      <c r="AC10" s="67">
        <f>AVERAGE(Reliability!I10:M10)</f>
        <v>52.239899698633202</v>
      </c>
      <c r="AD10" s="67">
        <f>AVERAGE(Reliability!I25:M25)</f>
        <v>0.92823654229427688</v>
      </c>
      <c r="AE10" s="69">
        <f>AVERAGE(Reliability!I40:M40)</f>
        <v>56.448584449277448</v>
      </c>
      <c r="AF10" s="46">
        <f>-AVERAGE(Depreciation!I33:M33)</f>
        <v>60782.115919661897</v>
      </c>
      <c r="AG10" s="46">
        <f>'Asset cost'!$B$2*AVERAGE(RAB!I33:M33)</f>
        <v>41292.457847813937</v>
      </c>
      <c r="AH10" s="77"/>
      <c r="AI10" s="77"/>
      <c r="AJ10" s="92"/>
      <c r="AK10" s="92"/>
    </row>
    <row r="11" spans="1:37">
      <c r="A11" s="17" t="s">
        <v>7</v>
      </c>
      <c r="B11" s="17" t="s">
        <v>66</v>
      </c>
      <c r="C11" s="42">
        <f>AVERAGE('Asset cost'!I14:M14)</f>
        <v>240375.88569374615</v>
      </c>
      <c r="D11" s="58">
        <f>AVERAGE(Opex!I34:M34)</f>
        <v>193012.16996145766</v>
      </c>
      <c r="E11" s="39">
        <f t="shared" si="1"/>
        <v>433388.05565520382</v>
      </c>
      <c r="F11" s="60">
        <f>AVERAGE('Physical data'!I56:M56)</f>
        <v>2415.4517379999998</v>
      </c>
      <c r="G11" s="61">
        <f>AVERAGE('Physical data'!I41:M41)</f>
        <v>10600460.876597693</v>
      </c>
      <c r="H11" s="61">
        <f>AVERAGE('Physical data'!I11:M11)</f>
        <v>67061.003760214226</v>
      </c>
      <c r="I11" s="61">
        <f>AVERAGE('Physical data'!I86:M86)</f>
        <v>74158.861735799626</v>
      </c>
      <c r="J11" s="61">
        <f>AVERAGE('Physical data'!I26:M26)</f>
        <v>767883.3359994744</v>
      </c>
      <c r="K11" s="61">
        <f>AVERAGE(RAB!I34:M34)</f>
        <v>2555914.315905557</v>
      </c>
      <c r="L11" s="60">
        <f t="shared" si="15"/>
        <v>11.450519570884238</v>
      </c>
      <c r="M11" s="63">
        <f t="shared" si="2"/>
        <v>179423.18980633008</v>
      </c>
      <c r="N11" s="63">
        <f t="shared" si="3"/>
        <v>40.883888040375787</v>
      </c>
      <c r="O11" s="63">
        <f t="shared" si="4"/>
        <v>6462.5942254733018</v>
      </c>
      <c r="P11" s="63">
        <f t="shared" si="5"/>
        <v>5844.0494569509965</v>
      </c>
      <c r="Q11" s="63">
        <f t="shared" si="6"/>
        <v>564.39309897395731</v>
      </c>
      <c r="R11" s="64">
        <f t="shared" si="7"/>
        <v>99515.91328120594</v>
      </c>
      <c r="S11" s="64">
        <f t="shared" si="8"/>
        <v>22.675984421056302</v>
      </c>
      <c r="T11" s="64">
        <f t="shared" si="9"/>
        <v>3584.4361434440043</v>
      </c>
      <c r="U11" s="64">
        <f t="shared" si="10"/>
        <v>313.03698677205136</v>
      </c>
      <c r="V11" s="66">
        <f t="shared" si="11"/>
        <v>79907.276525124136</v>
      </c>
      <c r="W11" s="66">
        <f t="shared" si="12"/>
        <v>18.207903619319477</v>
      </c>
      <c r="X11" s="66">
        <f t="shared" si="16"/>
        <v>2878.158082029297</v>
      </c>
      <c r="Y11" s="66">
        <f t="shared" si="13"/>
        <v>251.35611220190586</v>
      </c>
      <c r="Z11" s="43">
        <f t="shared" si="17"/>
        <v>3.1455972864107746</v>
      </c>
      <c r="AA11" s="43">
        <f t="shared" si="0"/>
        <v>13.80478046551195</v>
      </c>
      <c r="AB11" s="43">
        <f t="shared" si="14"/>
        <v>1.9960789885648134</v>
      </c>
      <c r="AC11" s="67">
        <f>AVERAGE(Reliability!I11:M11)</f>
        <v>139.80405641611264</v>
      </c>
      <c r="AD11" s="67">
        <f>AVERAGE(Reliability!I26:M26)</f>
        <v>1.418119257031778</v>
      </c>
      <c r="AE11" s="69">
        <f>AVERAGE(Reliability!I41:M41)</f>
        <v>98.439470466021888</v>
      </c>
      <c r="AF11" s="46">
        <f>-AVERAGE(Depreciation!I34:M34)</f>
        <v>130360.26409920506</v>
      </c>
      <c r="AG11" s="46">
        <f>'Asset cost'!$B$2*AVERAGE(RAB!I34:M34)</f>
        <v>110015.62159454109</v>
      </c>
      <c r="AH11" s="77"/>
      <c r="AI11" s="77"/>
      <c r="AJ11" s="92"/>
      <c r="AK11" s="92"/>
    </row>
    <row r="12" spans="1:37">
      <c r="A12" s="17" t="s">
        <v>8</v>
      </c>
      <c r="B12" s="17" t="s">
        <v>69</v>
      </c>
      <c r="C12" s="42">
        <f>AVERAGE('Asset cost'!I15:M15)</f>
        <v>362454.892744496</v>
      </c>
      <c r="D12" s="58">
        <f>AVERAGE(Opex!I35:M35)</f>
        <v>236152.17744833356</v>
      </c>
      <c r="E12" s="39">
        <f t="shared" si="1"/>
        <v>598607.07019282959</v>
      </c>
      <c r="F12" s="60">
        <f>AVERAGE('Physical data'!I57:M57)</f>
        <v>2848.3651516000004</v>
      </c>
      <c r="G12" s="61">
        <f>AVERAGE('Physical data'!I42:M42)</f>
        <v>10665511.291288303</v>
      </c>
      <c r="H12" s="61">
        <f>AVERAGE('Physical data'!I12:M12)</f>
        <v>81297.453337160172</v>
      </c>
      <c r="I12" s="61">
        <f>AVERAGE('Physical data'!I87:M87)</f>
        <v>88124.322007119554</v>
      </c>
      <c r="J12" s="61">
        <f>AVERAGE('Physical data'!I27:M27)</f>
        <v>851254.2</v>
      </c>
      <c r="K12" s="61">
        <f>AVERAGE(RAB!I35:M35)</f>
        <v>3491499.3874627724</v>
      </c>
      <c r="L12" s="60">
        <f t="shared" si="15"/>
        <v>10.470859357299215</v>
      </c>
      <c r="M12" s="63">
        <f t="shared" si="2"/>
        <v>210158.12170591138</v>
      </c>
      <c r="N12" s="63">
        <f t="shared" si="3"/>
        <v>56.125492144176704</v>
      </c>
      <c r="O12" s="63">
        <f t="shared" si="4"/>
        <v>7363.1712387134876</v>
      </c>
      <c r="P12" s="63">
        <f t="shared" si="5"/>
        <v>6792.756602932709</v>
      </c>
      <c r="Q12" s="63">
        <f t="shared" si="6"/>
        <v>703.20601084004011</v>
      </c>
      <c r="R12" s="64">
        <f t="shared" si="7"/>
        <v>127250.14998196271</v>
      </c>
      <c r="S12" s="64">
        <f t="shared" si="8"/>
        <v>33.983827202035108</v>
      </c>
      <c r="T12" s="64">
        <f t="shared" si="9"/>
        <v>4458.3794186185396</v>
      </c>
      <c r="U12" s="64">
        <f t="shared" si="10"/>
        <v>425.78925630498628</v>
      </c>
      <c r="V12" s="66">
        <f t="shared" si="11"/>
        <v>82907.971723948649</v>
      </c>
      <c r="W12" s="66">
        <f t="shared" si="12"/>
        <v>22.141664942141595</v>
      </c>
      <c r="X12" s="66">
        <f t="shared" si="16"/>
        <v>2904.7918200949475</v>
      </c>
      <c r="Y12" s="66">
        <f t="shared" si="13"/>
        <v>277.41675453505377</v>
      </c>
      <c r="Z12" s="43">
        <f t="shared" si="17"/>
        <v>3.3460805850943243</v>
      </c>
      <c r="AA12" s="43">
        <f t="shared" si="0"/>
        <v>12.529173179161177</v>
      </c>
      <c r="AB12" s="43">
        <f t="shared" si="14"/>
        <v>2.3394732841731449</v>
      </c>
      <c r="AC12" s="67">
        <f>AVERAGE(Reliability!I12:M12)</f>
        <v>140.73400000000001</v>
      </c>
      <c r="AD12" s="67">
        <f>AVERAGE(Reliability!I27:M27)</f>
        <v>1.2807999999999999</v>
      </c>
      <c r="AE12" s="69">
        <f>AVERAGE(Reliability!I42:M42)</f>
        <v>109.86068956403885</v>
      </c>
      <c r="AF12" s="46">
        <f>-AVERAGE(Depreciation!I35:M35)</f>
        <v>212168.36982849467</v>
      </c>
      <c r="AG12" s="46">
        <f>'Asset cost'!$B$2*AVERAGE(RAB!I35:M35)</f>
        <v>150286.52291600136</v>
      </c>
      <c r="AH12" s="77"/>
      <c r="AI12" s="77"/>
      <c r="AJ12" s="92"/>
      <c r="AK12" s="92"/>
    </row>
    <row r="13" spans="1:37">
      <c r="A13" s="17" t="s">
        <v>73</v>
      </c>
      <c r="B13" s="17" t="s">
        <v>74</v>
      </c>
      <c r="C13" s="42">
        <f>AVERAGE('Asset cost'!I16:M16)</f>
        <v>278717.20490518922</v>
      </c>
      <c r="D13" s="58">
        <f>AVERAGE(Opex!I36:M36)</f>
        <v>198231.69217501083</v>
      </c>
      <c r="E13" s="39">
        <f t="shared" si="1"/>
        <v>476948.89708020003</v>
      </c>
      <c r="F13" s="60">
        <f>AVERAGE('Physical data'!I58:M58)</f>
        <v>1877.2359924</v>
      </c>
      <c r="G13" s="61">
        <f>AVERAGE('Physical data'!I43:M43)</f>
        <v>7557905.4487530645</v>
      </c>
      <c r="H13" s="61">
        <f>AVERAGE('Physical data'!I13:M13)</f>
        <v>38310.289616551978</v>
      </c>
      <c r="I13" s="61">
        <f>AVERAGE('Physical data'!I88:M88)</f>
        <v>44166.322466444326</v>
      </c>
      <c r="J13" s="61">
        <f>AVERAGE('Physical data'!I28:M28)</f>
        <v>690877.4</v>
      </c>
      <c r="K13" s="61">
        <f>AVERAGE(RAB!I36:M36)</f>
        <v>3132210.9482852286</v>
      </c>
      <c r="L13" s="60">
        <f t="shared" si="15"/>
        <v>18.033729499698328</v>
      </c>
      <c r="M13" s="63">
        <f t="shared" si="2"/>
        <v>254069.75948209508</v>
      </c>
      <c r="N13" s="63">
        <f t="shared" si="3"/>
        <v>63.105962401115917</v>
      </c>
      <c r="O13" s="63">
        <f>$E13/H13*1000</f>
        <v>12449.629116719965</v>
      </c>
      <c r="P13" s="63">
        <f t="shared" si="5"/>
        <v>10798.927111093873</v>
      </c>
      <c r="Q13" s="63">
        <f t="shared" si="6"/>
        <v>690.35243746603953</v>
      </c>
      <c r="R13" s="64">
        <f t="shared" si="7"/>
        <v>148472.11860073922</v>
      </c>
      <c r="S13" s="64">
        <f t="shared" si="8"/>
        <v>36.877572337342905</v>
      </c>
      <c r="T13" s="64">
        <f t="shared" si="9"/>
        <v>7275.2570574347556</v>
      </c>
      <c r="U13" s="64">
        <f t="shared" si="10"/>
        <v>403.42498525091315</v>
      </c>
      <c r="V13" s="66">
        <f t="shared" si="11"/>
        <v>105597.64088135582</v>
      </c>
      <c r="W13" s="66">
        <f t="shared" si="12"/>
        <v>26.22839006377302</v>
      </c>
      <c r="X13" s="66">
        <f t="shared" si="16"/>
        <v>5174.3720592852096</v>
      </c>
      <c r="Y13" s="66">
        <f t="shared" si="13"/>
        <v>286.92745221512649</v>
      </c>
      <c r="Z13" s="43">
        <f t="shared" si="17"/>
        <v>2.7171767268693401</v>
      </c>
      <c r="AA13" s="43">
        <f t="shared" si="0"/>
        <v>10.939575456879997</v>
      </c>
      <c r="AB13" s="43">
        <f t="shared" si="14"/>
        <v>2.1758127837041275</v>
      </c>
      <c r="AC13" s="67">
        <f>AVERAGE(Reliability!I13:M13)</f>
        <v>144.83084285061028</v>
      </c>
      <c r="AD13" s="67">
        <f>AVERAGE(Reliability!I28:M28)</f>
        <v>1.7546149734255114</v>
      </c>
      <c r="AE13" s="69">
        <f>AVERAGE(Reliability!I43:M43)</f>
        <v>82.777504722107693</v>
      </c>
      <c r="AF13" s="46">
        <f>-AVERAGE(Depreciation!I36:M36)</f>
        <v>143895.73131492999</v>
      </c>
      <c r="AG13" s="46">
        <f>'Asset cost'!$B$2*AVERAGE(RAB!I36:M36)</f>
        <v>134821.47359025921</v>
      </c>
      <c r="AH13" s="77"/>
      <c r="AI13" s="77"/>
      <c r="AJ13" s="92"/>
      <c r="AK13" s="92"/>
    </row>
    <row r="14" spans="1:37">
      <c r="A14" s="17" t="s">
        <v>54</v>
      </c>
      <c r="B14" s="17" t="s">
        <v>68</v>
      </c>
      <c r="C14" s="42">
        <f>AVERAGE('Asset cost'!I17:M17)</f>
        <v>141176.60695487278</v>
      </c>
      <c r="D14" s="58">
        <f>AVERAGE(Opex!I37:M37)</f>
        <v>76811.21405399889</v>
      </c>
      <c r="E14" s="39">
        <f t="shared" si="1"/>
        <v>217987.82100887166</v>
      </c>
      <c r="F14" s="60">
        <f>AVERAGE('Physical data'!I59:M59)</f>
        <v>1047.1296722409375</v>
      </c>
      <c r="G14" s="61">
        <f>AVERAGE('Physical data'!I44:M44)</f>
        <v>4221290.5600816859</v>
      </c>
      <c r="H14" s="61">
        <f>AVERAGE('Physical data'!I14:M14)</f>
        <v>20353.754087329002</v>
      </c>
      <c r="I14" s="61">
        <f>AVERAGE('Physical data'!I89:M89)</f>
        <v>22472.845599999997</v>
      </c>
      <c r="J14" s="61">
        <f>AVERAGE('Physical data'!I29:M29)</f>
        <v>281478.8</v>
      </c>
      <c r="K14" s="61">
        <f>AVERAGE(RAB!I37:M37)</f>
        <v>1474305.2575023461</v>
      </c>
      <c r="L14" s="60">
        <f t="shared" si="15"/>
        <v>13.829330883742543</v>
      </c>
      <c r="M14" s="63">
        <f t="shared" si="2"/>
        <v>208176.52940954396</v>
      </c>
      <c r="N14" s="63">
        <f t="shared" si="3"/>
        <v>51.640089187476683</v>
      </c>
      <c r="O14" s="63">
        <f t="shared" si="4"/>
        <v>10709.956505988126</v>
      </c>
      <c r="P14" s="63">
        <f t="shared" si="5"/>
        <v>9700.054229397263</v>
      </c>
      <c r="Q14" s="63">
        <f t="shared" si="6"/>
        <v>774.43779428103164</v>
      </c>
      <c r="R14" s="64">
        <f t="shared" si="7"/>
        <v>134822.46821708724</v>
      </c>
      <c r="S14" s="64">
        <f t="shared" si="8"/>
        <v>33.443944439622008</v>
      </c>
      <c r="T14" s="64">
        <f t="shared" si="9"/>
        <v>6936.1458504974607</v>
      </c>
      <c r="U14" s="64">
        <f t="shared" si="10"/>
        <v>501.55325003116678</v>
      </c>
      <c r="V14" s="66">
        <f t="shared" si="11"/>
        <v>73354.061192456735</v>
      </c>
      <c r="W14" s="66">
        <f t="shared" si="12"/>
        <v>18.196144747854675</v>
      </c>
      <c r="X14" s="66">
        <f t="shared" si="16"/>
        <v>3773.8106554906662</v>
      </c>
      <c r="Y14" s="66">
        <f t="shared" si="13"/>
        <v>272.88454424986497</v>
      </c>
      <c r="Z14" s="43">
        <f t="shared" si="17"/>
        <v>3.7201013797164744</v>
      </c>
      <c r="AA14" s="43">
        <f t="shared" si="0"/>
        <v>14.996833012225737</v>
      </c>
      <c r="AB14" s="43">
        <f t="shared" si="14"/>
        <v>2.172997996293605</v>
      </c>
      <c r="AC14" s="67">
        <f>AVERAGE(Reliability!I14:M14)</f>
        <v>154.70119721821857</v>
      </c>
      <c r="AD14" s="67">
        <f>AVERAGE(Reliability!I29:M29)</f>
        <v>1.5730879786286407</v>
      </c>
      <c r="AE14" s="69">
        <f>AVERAGE(Reliability!I44:M44)</f>
        <v>98.65464054297793</v>
      </c>
      <c r="AF14" s="46">
        <f>-AVERAGE(Depreciation!I37:M37)</f>
        <v>77717.277228964318</v>
      </c>
      <c r="AG14" s="46">
        <f>'Asset cost'!$B$2*AVERAGE(RAB!I37:M37)</f>
        <v>63459.329725908494</v>
      </c>
      <c r="AH14" s="77"/>
      <c r="AI14" s="77"/>
      <c r="AJ14" s="92"/>
      <c r="AK14" s="92"/>
    </row>
    <row r="15" spans="1:37">
      <c r="A15" s="17" t="s">
        <v>9</v>
      </c>
      <c r="B15" s="17" t="s">
        <v>67</v>
      </c>
      <c r="C15" s="42">
        <f>AVERAGE('Asset cost'!I18:M18)</f>
        <v>192553.24209417225</v>
      </c>
      <c r="D15" s="58">
        <f>AVERAGE(Opex!I38:M38)</f>
        <v>130037.45561346554</v>
      </c>
      <c r="E15" s="39">
        <f t="shared" si="1"/>
        <v>322590.6977076378</v>
      </c>
      <c r="F15" s="60">
        <f>AVERAGE('Physical data'!I60:M60)</f>
        <v>1965.4376737577597</v>
      </c>
      <c r="G15" s="61">
        <f>AVERAGE('Physical data'!I45:M45)</f>
        <v>7869031.1153944777</v>
      </c>
      <c r="H15" s="61">
        <f>AVERAGE('Physical data'!I15:M15)</f>
        <v>10135.562567359262</v>
      </c>
      <c r="I15" s="61">
        <f>AVERAGE('Physical data'!I90:M90)</f>
        <v>12844.880744978</v>
      </c>
      <c r="J15" s="61">
        <f>AVERAGE('Physical data'!I30:M30)</f>
        <v>659447.19999999995</v>
      </c>
      <c r="K15" s="61">
        <f>AVERAGE(RAB!I38:M38)</f>
        <v>1880122.5526547593</v>
      </c>
      <c r="L15" s="60">
        <f>J15/H15</f>
        <v>65.062713156514363</v>
      </c>
      <c r="M15" s="63">
        <f>$E15/F15*1000</f>
        <v>164131.73615974816</v>
      </c>
      <c r="N15" s="63">
        <f t="shared" si="3"/>
        <v>40.994970407035453</v>
      </c>
      <c r="O15" s="63">
        <f t="shared" si="4"/>
        <v>31827.606564880214</v>
      </c>
      <c r="P15" s="63">
        <f t="shared" si="5"/>
        <v>25114.339643344843</v>
      </c>
      <c r="Q15" s="63">
        <f t="shared" si="6"/>
        <v>489.1835126567189</v>
      </c>
      <c r="R15" s="64">
        <f t="shared" si="7"/>
        <v>97969.650559320886</v>
      </c>
      <c r="S15" s="64">
        <f t="shared" si="8"/>
        <v>24.469752282142231</v>
      </c>
      <c r="T15" s="64">
        <f t="shared" si="9"/>
        <v>18997.7853537478</v>
      </c>
      <c r="U15" s="64">
        <f t="shared" si="10"/>
        <v>291.99190184471519</v>
      </c>
      <c r="V15" s="66">
        <f t="shared" si="11"/>
        <v>66162.085600427279</v>
      </c>
      <c r="W15" s="66">
        <f t="shared" si="12"/>
        <v>16.525218124893222</v>
      </c>
      <c r="X15" s="66">
        <f t="shared" si="16"/>
        <v>12829.821211132412</v>
      </c>
      <c r="Y15" s="66">
        <f t="shared" si="13"/>
        <v>197.19161081200369</v>
      </c>
      <c r="Z15" s="43">
        <f t="shared" si="17"/>
        <v>2.980432207093699</v>
      </c>
      <c r="AA15" s="43">
        <f t="shared" si="0"/>
        <v>11.932769015312338</v>
      </c>
      <c r="AB15" s="43">
        <f t="shared" si="14"/>
        <v>2.1879738140106295</v>
      </c>
      <c r="AC15" s="67">
        <f>AVERAGE(Reliability!I15:M15)</f>
        <v>70.225275777029154</v>
      </c>
      <c r="AD15" s="67">
        <f>AVERAGE(Reliability!I30:M30)</f>
        <v>0.96306813312214845</v>
      </c>
      <c r="AE15" s="69">
        <f>AVERAGE(Reliability!I45:M45)</f>
        <v>147.48212842008448</v>
      </c>
      <c r="AF15" s="46">
        <f>-AVERAGE(Depreciation!I38:M38)</f>
        <v>111626.09597779527</v>
      </c>
      <c r="AG15" s="46">
        <f>'Asset cost'!$B$2*AVERAGE(RAB!I38:M38)</f>
        <v>80927.146116376956</v>
      </c>
      <c r="AH15" s="77"/>
      <c r="AI15" s="77"/>
      <c r="AJ15" s="92"/>
      <c r="AK15" s="92"/>
    </row>
    <row r="16" spans="1:37">
      <c r="AH16" s="2"/>
    </row>
    <row r="17" spans="13:33" s="2" customFormat="1"/>
    <row r="18" spans="13:33">
      <c r="M18" s="2"/>
      <c r="N18" s="2"/>
      <c r="O18" s="2"/>
      <c r="Q18" s="2"/>
      <c r="R18" s="2"/>
      <c r="S18" s="2"/>
      <c r="T18" s="2"/>
      <c r="U18" s="2"/>
      <c r="V18" s="2"/>
      <c r="W18" s="29"/>
      <c r="X18" s="2"/>
      <c r="Y18" s="2"/>
      <c r="Z18" s="2"/>
      <c r="AA18" s="2"/>
      <c r="AB18" s="28"/>
      <c r="AC18" s="28"/>
      <c r="AD18" s="2"/>
      <c r="AE18" s="2"/>
      <c r="AG18" s="2"/>
    </row>
    <row r="19" spans="13:33">
      <c r="M19" s="2"/>
      <c r="N19" s="2"/>
      <c r="O19" s="2"/>
      <c r="Q19" s="2"/>
      <c r="R19" s="2"/>
      <c r="S19" s="2"/>
      <c r="T19" s="2"/>
      <c r="U19" s="2"/>
      <c r="V19" s="2"/>
      <c r="W19" s="2"/>
      <c r="X19" s="2"/>
      <c r="Y19" s="2"/>
      <c r="Z19" s="2"/>
      <c r="AA19" s="2"/>
      <c r="AB19" s="28"/>
      <c r="AC19" s="28"/>
      <c r="AD19" s="2"/>
      <c r="AE19" s="2"/>
    </row>
    <row r="20" spans="13:33">
      <c r="M20" s="2"/>
      <c r="N20" s="29"/>
      <c r="O20" s="29"/>
      <c r="Q20" s="2"/>
      <c r="R20" s="2"/>
      <c r="S20" s="2"/>
      <c r="T20" s="2"/>
      <c r="U20" s="2"/>
      <c r="V20" s="2"/>
      <c r="W20" s="29"/>
      <c r="X20" s="2"/>
      <c r="Y20" s="2"/>
      <c r="Z20" s="2"/>
      <c r="AA20" s="2"/>
      <c r="AB20" s="28"/>
      <c r="AC20" s="28"/>
      <c r="AD20" s="2"/>
      <c r="AE20" s="2"/>
    </row>
    <row r="21" spans="13:33">
      <c r="M21" s="2"/>
      <c r="N21" s="2"/>
      <c r="O21" s="2"/>
      <c r="Q21" s="2"/>
      <c r="R21" s="2"/>
      <c r="S21" s="2"/>
      <c r="T21" s="2"/>
      <c r="U21" s="2"/>
      <c r="V21" s="2"/>
      <c r="W21" s="2"/>
      <c r="X21" s="2"/>
      <c r="Y21" s="2"/>
      <c r="Z21" s="2"/>
      <c r="AA21" s="2"/>
      <c r="AB21" s="28"/>
      <c r="AC21" s="28"/>
      <c r="AD21" s="2"/>
      <c r="AE21" s="2"/>
    </row>
    <row r="22" spans="13:33">
      <c r="M22" s="2"/>
      <c r="N22" s="29"/>
      <c r="O22" s="29"/>
      <c r="Q22" s="2"/>
      <c r="R22" s="2"/>
      <c r="S22" s="2"/>
      <c r="T22" s="2"/>
      <c r="U22" s="2"/>
      <c r="V22" s="2"/>
      <c r="W22" s="29"/>
      <c r="X22" s="2"/>
      <c r="Y22" s="2"/>
      <c r="Z22" s="2"/>
      <c r="AA22" s="2"/>
      <c r="AB22" s="28"/>
      <c r="AC22" s="28"/>
      <c r="AD22" s="2"/>
      <c r="AE22" s="2"/>
    </row>
    <row r="23" spans="13:33">
      <c r="O23" s="2"/>
      <c r="P23"/>
      <c r="AB23" s="28"/>
      <c r="AC23" s="28"/>
    </row>
    <row r="24" spans="13:33">
      <c r="O24" s="2"/>
      <c r="P24"/>
      <c r="AB24" s="28"/>
      <c r="AC24" s="28"/>
    </row>
    <row r="25" spans="13:33">
      <c r="AC25" s="28"/>
      <c r="AD25" s="28"/>
    </row>
    <row r="26" spans="13:33">
      <c r="AC26" s="28"/>
      <c r="AD26" s="28"/>
    </row>
    <row r="27" spans="13:33">
      <c r="AC27" s="28"/>
      <c r="AD27" s="28"/>
    </row>
    <row r="28" spans="13:33">
      <c r="AC28" s="28"/>
      <c r="AD28" s="28"/>
    </row>
    <row r="29" spans="13:33">
      <c r="AC29" s="28"/>
      <c r="AD29" s="28"/>
    </row>
    <row r="30" spans="13:33">
      <c r="AC30" s="28"/>
      <c r="AD30" s="28"/>
    </row>
    <row r="33" spans="5:7">
      <c r="E33" s="28"/>
      <c r="G33" s="2"/>
    </row>
    <row r="34" spans="5:7">
      <c r="G34"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18"/>
  <sheetViews>
    <sheetView workbookViewId="0">
      <selection activeCell="C8" sqref="C8"/>
    </sheetView>
  </sheetViews>
  <sheetFormatPr defaultColWidth="9.140625" defaultRowHeight="15"/>
  <cols>
    <col min="1" max="1" width="38.42578125" style="2" customWidth="1"/>
    <col min="2" max="2" width="10.140625" style="2" bestFit="1" customWidth="1"/>
    <col min="3" max="13" width="12.42578125" style="2" customWidth="1"/>
    <col min="14" max="16384" width="9.140625" style="2"/>
  </cols>
  <sheetData>
    <row r="1" spans="1:14">
      <c r="D1" s="83" t="s">
        <v>134</v>
      </c>
      <c r="E1" s="83"/>
    </row>
    <row r="2" spans="1:14">
      <c r="B2" s="26"/>
      <c r="D2" s="83" t="str">
        <f>IF(AND(RAB!A24=Depreciation!A24,RAB!A24=Opex!A24),"valid","invalid")</f>
        <v>valid</v>
      </c>
      <c r="E2" s="83" t="s">
        <v>135</v>
      </c>
    </row>
    <row r="4" spans="1:14">
      <c r="A4" s="23" t="s">
        <v>161</v>
      </c>
    </row>
    <row r="5" spans="1:14">
      <c r="A5" s="23" t="str">
        <f>"Real "&amp;Real_year&amp;""</f>
        <v>Real 2016</v>
      </c>
      <c r="B5" s="25"/>
      <c r="C5" s="2">
        <v>2006</v>
      </c>
      <c r="D5" s="2">
        <v>2007</v>
      </c>
      <c r="E5" s="2">
        <v>2008</v>
      </c>
      <c r="F5" s="2">
        <v>2009</v>
      </c>
      <c r="G5" s="2">
        <v>2010</v>
      </c>
      <c r="H5" s="2">
        <v>2011</v>
      </c>
      <c r="I5" s="2">
        <v>2012</v>
      </c>
      <c r="J5" s="2">
        <v>2013</v>
      </c>
      <c r="K5" s="2">
        <v>2014</v>
      </c>
      <c r="L5" s="2">
        <v>2015</v>
      </c>
      <c r="M5" s="2">
        <v>2016</v>
      </c>
      <c r="N5" s="83" t="s">
        <v>133</v>
      </c>
    </row>
    <row r="6" spans="1:14">
      <c r="A6" s="17" t="s">
        <v>58</v>
      </c>
      <c r="B6" s="17" t="s">
        <v>30</v>
      </c>
      <c r="C6" s="18">
        <f>'Asset cost'!C6+Opex!C26</f>
        <v>102798.95878471776</v>
      </c>
      <c r="D6" s="18">
        <f>'Asset cost'!D6+Opex!D26</f>
        <v>104129.64122218679</v>
      </c>
      <c r="E6" s="18">
        <f>'Asset cost'!E6+Opex!E26</f>
        <v>108695.79810108652</v>
      </c>
      <c r="F6" s="18">
        <f>'Asset cost'!F6+Opex!F26</f>
        <v>111232.13987443749</v>
      </c>
      <c r="G6" s="18">
        <f>'Asset cost'!G6+Opex!G26</f>
        <v>120159.21066397434</v>
      </c>
      <c r="H6" s="18">
        <f>'Asset cost'!H6+Opex!H26</f>
        <v>131199.99840208696</v>
      </c>
      <c r="I6" s="18">
        <f>'Asset cost'!I6+Opex!I26</f>
        <v>140145.64825663954</v>
      </c>
      <c r="J6" s="18">
        <f>'Asset cost'!J6+Opex!J26</f>
        <v>151528.23871564976</v>
      </c>
      <c r="K6" s="18">
        <f>'Asset cost'!K6+Opex!K26</f>
        <v>165592.82495455042</v>
      </c>
      <c r="L6" s="18">
        <f>'Asset cost'!L6+Opex!L26</f>
        <v>173661.19068938887</v>
      </c>
      <c r="M6" s="18">
        <f>'Asset cost'!M6+Opex!M26</f>
        <v>144252.4027984447</v>
      </c>
      <c r="N6" s="91">
        <f>AVERAGE(H6:L6)</f>
        <v>152425.58020366312</v>
      </c>
    </row>
    <row r="7" spans="1:14">
      <c r="A7" s="17" t="s">
        <v>59</v>
      </c>
      <c r="B7" s="17" t="s">
        <v>30</v>
      </c>
      <c r="C7" s="18">
        <f>'Asset cost'!C7+Opex!C27</f>
        <v>980374.05216657789</v>
      </c>
      <c r="D7" s="18">
        <f>'Asset cost'!D7+Opex!D27</f>
        <v>954522.15321332589</v>
      </c>
      <c r="E7" s="18">
        <f>'Asset cost'!E7+Opex!E27</f>
        <v>1187200.4105909807</v>
      </c>
      <c r="F7" s="18">
        <f>'Asset cost'!F7+Opex!F27</f>
        <v>1199717.8130432179</v>
      </c>
      <c r="G7" s="18">
        <f>'Asset cost'!G7+Opex!G27</f>
        <v>1295393.2000047946</v>
      </c>
      <c r="H7" s="18">
        <f>'Asset cost'!H7+Opex!H27</f>
        <v>1370509.8775608877</v>
      </c>
      <c r="I7" s="18">
        <f>'Asset cost'!I7+Opex!I27</f>
        <v>1553280.5495557012</v>
      </c>
      <c r="J7" s="18">
        <f>'Asset cost'!J7+Opex!J27</f>
        <v>1538246.7699878637</v>
      </c>
      <c r="K7" s="18">
        <f>'Asset cost'!K7+Opex!K27</f>
        <v>1628473.6774869908</v>
      </c>
      <c r="L7" s="18">
        <f>'Asset cost'!L7+Opex!L27</f>
        <v>1755845.7793022066</v>
      </c>
      <c r="M7" s="18">
        <f>'Asset cost'!M7+Opex!M27</f>
        <v>1708816.4816926131</v>
      </c>
      <c r="N7" s="91">
        <f t="shared" ref="N7:N18" si="0">AVERAGE(H7:L7)</f>
        <v>1569271.3307787299</v>
      </c>
    </row>
    <row r="8" spans="1:14">
      <c r="A8" s="17" t="s">
        <v>60</v>
      </c>
      <c r="B8" s="17" t="s">
        <v>30</v>
      </c>
      <c r="C8" s="18">
        <f>'Asset cost'!C8+Opex!C28</f>
        <v>141992.44222180228</v>
      </c>
      <c r="D8" s="18">
        <f>'Asset cost'!D8+Opex!D28</f>
        <v>148965.84051479853</v>
      </c>
      <c r="E8" s="18">
        <f>'Asset cost'!E8+Opex!E28</f>
        <v>144947.69620304767</v>
      </c>
      <c r="F8" s="18">
        <f>'Asset cost'!F8+Opex!F28</f>
        <v>157822.31247477929</v>
      </c>
      <c r="G8" s="18">
        <f>'Asset cost'!G8+Opex!G28</f>
        <v>167049.57415057643</v>
      </c>
      <c r="H8" s="18">
        <f>'Asset cost'!H8+Opex!H28</f>
        <v>153459.16927666226</v>
      </c>
      <c r="I8" s="18">
        <f>'Asset cost'!I8+Opex!I28</f>
        <v>175068.2736041852</v>
      </c>
      <c r="J8" s="18">
        <f>'Asset cost'!J8+Opex!J28</f>
        <v>179894.7404979826</v>
      </c>
      <c r="K8" s="18">
        <f>'Asset cost'!K8+Opex!K28</f>
        <v>185929.79962334337</v>
      </c>
      <c r="L8" s="18">
        <f>'Asset cost'!L8+Opex!L28</f>
        <v>190896.47873222642</v>
      </c>
      <c r="M8" s="18">
        <f>'Asset cost'!M8+Opex!M28</f>
        <v>198028.37791700315</v>
      </c>
      <c r="N8" s="91">
        <f t="shared" si="0"/>
        <v>177049.69234687998</v>
      </c>
    </row>
    <row r="9" spans="1:14">
      <c r="A9" s="17" t="s">
        <v>61</v>
      </c>
      <c r="B9" s="17" t="s">
        <v>30</v>
      </c>
      <c r="C9" s="18">
        <f>'Asset cost'!C9+Opex!C29</f>
        <v>502069.35037434509</v>
      </c>
      <c r="D9" s="18">
        <f>'Asset cost'!D9+Opex!D29</f>
        <v>540581.52371889632</v>
      </c>
      <c r="E9" s="18">
        <f>'Asset cost'!E9+Opex!E29</f>
        <v>617115.92852839897</v>
      </c>
      <c r="F9" s="18">
        <f>'Asset cost'!F9+Opex!F29</f>
        <v>611953.38585209777</v>
      </c>
      <c r="G9" s="18">
        <f>'Asset cost'!G9+Opex!G29</f>
        <v>654176.61564763414</v>
      </c>
      <c r="H9" s="18">
        <f>'Asset cost'!H9+Opex!H29</f>
        <v>648820.48773761059</v>
      </c>
      <c r="I9" s="18">
        <f>'Asset cost'!I9+Opex!I29</f>
        <v>667655.74264473305</v>
      </c>
      <c r="J9" s="18">
        <f>'Asset cost'!J9+Opex!J29</f>
        <v>656357.81680479588</v>
      </c>
      <c r="K9" s="18">
        <f>'Asset cost'!K9+Opex!K29</f>
        <v>693832.8506524713</v>
      </c>
      <c r="L9" s="18">
        <f>'Asset cost'!L9+Opex!L29</f>
        <v>684055.71548905957</v>
      </c>
      <c r="M9" s="18">
        <f>'Asset cost'!M9+Opex!M29</f>
        <v>736113.44429809914</v>
      </c>
      <c r="N9" s="91">
        <f t="shared" si="0"/>
        <v>670144.52266573417</v>
      </c>
    </row>
    <row r="10" spans="1:14">
      <c r="A10" s="17" t="s">
        <v>62</v>
      </c>
      <c r="B10" s="17" t="s">
        <v>30</v>
      </c>
      <c r="C10" s="18">
        <f>'Asset cost'!C10+Opex!C30</f>
        <v>673130.69256656338</v>
      </c>
      <c r="D10" s="18">
        <f>'Asset cost'!D10+Opex!D30</f>
        <v>757277.1920028755</v>
      </c>
      <c r="E10" s="18">
        <f>'Asset cost'!E10+Opex!E30</f>
        <v>796969.5875239172</v>
      </c>
      <c r="F10" s="18">
        <f>'Asset cost'!F10+Opex!F30</f>
        <v>813347.24209051044</v>
      </c>
      <c r="G10" s="18">
        <f>'Asset cost'!G10+Opex!G30</f>
        <v>854056.24656045693</v>
      </c>
      <c r="H10" s="18">
        <f>'Asset cost'!H10+Opex!H30</f>
        <v>934471.5303702245</v>
      </c>
      <c r="I10" s="18">
        <f>'Asset cost'!I10+Opex!I30</f>
        <v>979136.55215287232</v>
      </c>
      <c r="J10" s="18">
        <f>'Asset cost'!J10+Opex!J30</f>
        <v>1039704.5998697588</v>
      </c>
      <c r="K10" s="18">
        <f>'Asset cost'!K10+Opex!K30</f>
        <v>1031534.3037351735</v>
      </c>
      <c r="L10" s="18">
        <f>'Asset cost'!L10+Opex!L30</f>
        <v>1038401.1353287078</v>
      </c>
      <c r="M10" s="18">
        <f>'Asset cost'!M10+Opex!M30</f>
        <v>966415.64128850482</v>
      </c>
      <c r="N10" s="91">
        <f t="shared" si="0"/>
        <v>1004649.6242913473</v>
      </c>
    </row>
    <row r="11" spans="1:14">
      <c r="A11" s="17" t="s">
        <v>63</v>
      </c>
      <c r="B11" s="17" t="s">
        <v>30</v>
      </c>
      <c r="C11" s="18">
        <f>'Asset cost'!C11+Opex!C31</f>
        <v>831262.7099953111</v>
      </c>
      <c r="D11" s="18">
        <f>'Asset cost'!D11+Opex!D31</f>
        <v>823282.91700602882</v>
      </c>
      <c r="E11" s="18">
        <f>'Asset cost'!E11+Opex!E31</f>
        <v>854228.71593174036</v>
      </c>
      <c r="F11" s="18">
        <f>'Asset cost'!F11+Opex!F31</f>
        <v>861615.03434684908</v>
      </c>
      <c r="G11" s="18">
        <f>'Asset cost'!G11+Opex!G31</f>
        <v>882430.81995817414</v>
      </c>
      <c r="H11" s="18">
        <f>'Asset cost'!H11+Opex!H31</f>
        <v>963937.68550032284</v>
      </c>
      <c r="I11" s="18">
        <f>'Asset cost'!I11+Opex!I31</f>
        <v>1010743.6102090806</v>
      </c>
      <c r="J11" s="18">
        <f>'Asset cost'!J11+Opex!J31</f>
        <v>944034.13866822561</v>
      </c>
      <c r="K11" s="18">
        <f>'Asset cost'!K11+Opex!K31</f>
        <v>968749.768436749</v>
      </c>
      <c r="L11" s="18">
        <f>'Asset cost'!L11+Opex!L31</f>
        <v>1017011.3725468935</v>
      </c>
      <c r="M11" s="18">
        <f>'Asset cost'!M11+Opex!M31</f>
        <v>1040094.1995345945</v>
      </c>
      <c r="N11" s="91">
        <f t="shared" si="0"/>
        <v>980895.31507225451</v>
      </c>
    </row>
    <row r="12" spans="1:14">
      <c r="A12" s="17" t="s">
        <v>64</v>
      </c>
      <c r="B12" s="17" t="s">
        <v>30</v>
      </c>
      <c r="C12" s="18">
        <f>'Asset cost'!C12+Opex!C32</f>
        <v>592730.22387100221</v>
      </c>
      <c r="D12" s="18">
        <f>'Asset cost'!D12+Opex!D32</f>
        <v>676624.27944948291</v>
      </c>
      <c r="E12" s="18">
        <f>'Asset cost'!E12+Opex!E32</f>
        <v>776195.46259526187</v>
      </c>
      <c r="F12" s="18">
        <f>'Asset cost'!F12+Opex!F32</f>
        <v>793957.94890866615</v>
      </c>
      <c r="G12" s="18">
        <f>'Asset cost'!G12+Opex!G32</f>
        <v>881493.34930886398</v>
      </c>
      <c r="H12" s="18">
        <f>'Asset cost'!H12+Opex!H32</f>
        <v>929162.41163327685</v>
      </c>
      <c r="I12" s="18">
        <f>'Asset cost'!I12+Opex!I32</f>
        <v>1004851.1846701168</v>
      </c>
      <c r="J12" s="18">
        <f>'Asset cost'!J12+Opex!J32</f>
        <v>1016524.0716351788</v>
      </c>
      <c r="K12" s="18">
        <f>'Asset cost'!K12+Opex!K32</f>
        <v>1019291.5543308222</v>
      </c>
      <c r="L12" s="18">
        <f>'Asset cost'!L12+Opex!L32</f>
        <v>966555.96913555637</v>
      </c>
      <c r="M12" s="18">
        <f>'Asset cost'!M12+Opex!M32</f>
        <v>913482.460131492</v>
      </c>
      <c r="N12" s="91">
        <f t="shared" si="0"/>
        <v>987277.03828099021</v>
      </c>
    </row>
    <row r="13" spans="1:14">
      <c r="A13" s="17" t="s">
        <v>65</v>
      </c>
      <c r="B13" s="17" t="s">
        <v>30</v>
      </c>
      <c r="C13" s="18">
        <f>'Asset cost'!C13+Opex!C33</f>
        <v>123633.28200537615</v>
      </c>
      <c r="D13" s="18">
        <f>'Asset cost'!D13+Opex!D33</f>
        <v>131964.59294457093</v>
      </c>
      <c r="E13" s="18">
        <f>'Asset cost'!E13+Opex!E33</f>
        <v>119580.0892000543</v>
      </c>
      <c r="F13" s="18">
        <f>'Asset cost'!F13+Opex!F33</f>
        <v>127189.70722980113</v>
      </c>
      <c r="G13" s="18">
        <f>'Asset cost'!G13+Opex!G33</f>
        <v>138488.14041454098</v>
      </c>
      <c r="H13" s="18">
        <f>'Asset cost'!H13+Opex!H33</f>
        <v>139649.57274420591</v>
      </c>
      <c r="I13" s="18">
        <f>'Asset cost'!I13+Opex!I33</f>
        <v>161632.48769235174</v>
      </c>
      <c r="J13" s="18">
        <f>'Asset cost'!J13+Opex!J33</f>
        <v>169259.92610017303</v>
      </c>
      <c r="K13" s="18">
        <f>'Asset cost'!K13+Opex!K33</f>
        <v>174356.77887399314</v>
      </c>
      <c r="L13" s="18">
        <f>'Asset cost'!L13+Opex!L33</f>
        <v>181685.26823804763</v>
      </c>
      <c r="M13" s="18">
        <f>'Asset cost'!M13+Opex!M33</f>
        <v>200730.1616760465</v>
      </c>
      <c r="N13" s="91">
        <f t="shared" si="0"/>
        <v>165316.80672975429</v>
      </c>
    </row>
    <row r="14" spans="1:14">
      <c r="A14" s="17" t="s">
        <v>66</v>
      </c>
      <c r="B14" s="17" t="s">
        <v>30</v>
      </c>
      <c r="C14" s="18">
        <f>'Asset cost'!C14+Opex!C34</f>
        <v>324555.54965382034</v>
      </c>
      <c r="D14" s="18">
        <f>'Asset cost'!D14+Opex!D34</f>
        <v>315522.56565990322</v>
      </c>
      <c r="E14" s="18">
        <f>'Asset cost'!E14+Opex!E34</f>
        <v>320067.657608354</v>
      </c>
      <c r="F14" s="18">
        <f>'Asset cost'!F14+Opex!F34</f>
        <v>347177.86249700381</v>
      </c>
      <c r="G14" s="18">
        <f>'Asset cost'!G14+Opex!G34</f>
        <v>347459.91315205966</v>
      </c>
      <c r="H14" s="18">
        <f>'Asset cost'!H14+Opex!H34</f>
        <v>347246.36202910589</v>
      </c>
      <c r="I14" s="18">
        <f>'Asset cost'!I14+Opex!I34</f>
        <v>397372.50595904281</v>
      </c>
      <c r="J14" s="18">
        <f>'Asset cost'!J14+Opex!J34</f>
        <v>426321.60911962064</v>
      </c>
      <c r="K14" s="18">
        <f>'Asset cost'!K14+Opex!K34</f>
        <v>419976.64973246428</v>
      </c>
      <c r="L14" s="18">
        <f>'Asset cost'!L14+Opex!L34</f>
        <v>451177.35778146604</v>
      </c>
      <c r="M14" s="18">
        <f>'Asset cost'!M14+Opex!M34</f>
        <v>472092.15568342555</v>
      </c>
      <c r="N14" s="91">
        <f t="shared" si="0"/>
        <v>408418.89692433993</v>
      </c>
    </row>
    <row r="15" spans="1:14">
      <c r="A15" s="17" t="s">
        <v>69</v>
      </c>
      <c r="B15" s="17" t="s">
        <v>30</v>
      </c>
      <c r="C15" s="18">
        <f>'Asset cost'!C15+Opex!C35</f>
        <v>459889.9525534772</v>
      </c>
      <c r="D15" s="18">
        <f>'Asset cost'!D15+Opex!D35</f>
        <v>460680.16798954632</v>
      </c>
      <c r="E15" s="18">
        <f>'Asset cost'!E15+Opex!E35</f>
        <v>481579.2361448548</v>
      </c>
      <c r="F15" s="18">
        <f>'Asset cost'!F15+Opex!F35</f>
        <v>502939.7978627666</v>
      </c>
      <c r="G15" s="18">
        <f>'Asset cost'!G15+Opex!G35</f>
        <v>514170.71196991688</v>
      </c>
      <c r="H15" s="18">
        <f>'Asset cost'!H15+Opex!H35</f>
        <v>537397.33600035124</v>
      </c>
      <c r="I15" s="18">
        <f>'Asset cost'!I15+Opex!I35</f>
        <v>557284.94617532636</v>
      </c>
      <c r="J15" s="18">
        <f>'Asset cost'!J15+Opex!J35</f>
        <v>595700.87745009619</v>
      </c>
      <c r="K15" s="18">
        <f>'Asset cost'!K15+Opex!K35</f>
        <v>618899.90669926594</v>
      </c>
      <c r="L15" s="18">
        <f>'Asset cost'!L15+Opex!L35</f>
        <v>650271.98125548253</v>
      </c>
      <c r="M15" s="18">
        <f>'Asset cost'!M15+Opex!M35</f>
        <v>570877.63938397705</v>
      </c>
      <c r="N15" s="91">
        <f t="shared" si="0"/>
        <v>591911.00951610436</v>
      </c>
    </row>
    <row r="16" spans="1:14">
      <c r="A16" s="17" t="s">
        <v>74</v>
      </c>
      <c r="B16" s="17" t="s">
        <v>30</v>
      </c>
      <c r="C16" s="18">
        <f>'Asset cost'!C16+Opex!C36</f>
        <v>250623.70073171519</v>
      </c>
      <c r="D16" s="18">
        <f>'Asset cost'!D16+Opex!D36</f>
        <v>291625.98049844429</v>
      </c>
      <c r="E16" s="18">
        <f>'Asset cost'!E16+Opex!E36</f>
        <v>309545.24036569317</v>
      </c>
      <c r="F16" s="18">
        <f>'Asset cost'!F16+Opex!F36</f>
        <v>351195.65357324993</v>
      </c>
      <c r="G16" s="18">
        <f>'Asset cost'!G16+Opex!G36</f>
        <v>359234.44933128933</v>
      </c>
      <c r="H16" s="18">
        <f>'Asset cost'!H16+Opex!H36</f>
        <v>409920.93178841245</v>
      </c>
      <c r="I16" s="18">
        <f>'Asset cost'!I16+Opex!I36</f>
        <v>410921.34892388008</v>
      </c>
      <c r="J16" s="18">
        <f>'Asset cost'!J16+Opex!J36</f>
        <v>457106.04002388712</v>
      </c>
      <c r="K16" s="18">
        <f>'Asset cost'!K16+Opex!K36</f>
        <v>469395.94164546696</v>
      </c>
      <c r="L16" s="18">
        <f>'Asset cost'!L16+Opex!L36</f>
        <v>495199.26978953602</v>
      </c>
      <c r="M16" s="18">
        <f>'Asset cost'!M16+Opex!M36</f>
        <v>552121.88501822983</v>
      </c>
      <c r="N16" s="91">
        <f t="shared" si="0"/>
        <v>448508.70643423649</v>
      </c>
    </row>
    <row r="17" spans="1:14">
      <c r="A17" s="17" t="s">
        <v>68</v>
      </c>
      <c r="B17" s="17" t="s">
        <v>30</v>
      </c>
      <c r="C17" s="18">
        <f>'Asset cost'!C17+Opex!C37</f>
        <v>164545.27061030519</v>
      </c>
      <c r="D17" s="18">
        <f>'Asset cost'!D17+Opex!D37</f>
        <v>175104.05772298749</v>
      </c>
      <c r="E17" s="18">
        <f>'Asset cost'!E17+Opex!E37</f>
        <v>177808.86793442944</v>
      </c>
      <c r="F17" s="18">
        <f>'Asset cost'!F17+Opex!F37</f>
        <v>179335.59806749615</v>
      </c>
      <c r="G17" s="18">
        <f>'Asset cost'!G17+Opex!G37</f>
        <v>205268.54832544349</v>
      </c>
      <c r="H17" s="18">
        <f>'Asset cost'!H17+Opex!H37</f>
        <v>213169.17696052566</v>
      </c>
      <c r="I17" s="18">
        <f>'Asset cost'!I17+Opex!I37</f>
        <v>228256.36285437644</v>
      </c>
      <c r="J17" s="18">
        <f>'Asset cost'!J17+Opex!J37</f>
        <v>214231.59656674782</v>
      </c>
      <c r="K17" s="18">
        <f>'Asset cost'!K17+Opex!K37</f>
        <v>217707.40739866986</v>
      </c>
      <c r="L17" s="18">
        <f>'Asset cost'!L17+Opex!L37</f>
        <v>211343.21894520434</v>
      </c>
      <c r="M17" s="18">
        <f>'Asset cost'!M17+Opex!M37</f>
        <v>218400.51927936004</v>
      </c>
      <c r="N17" s="91">
        <f t="shared" si="0"/>
        <v>216941.55254510482</v>
      </c>
    </row>
    <row r="18" spans="1:14">
      <c r="A18" s="17" t="s">
        <v>67</v>
      </c>
      <c r="B18" s="17" t="s">
        <v>30</v>
      </c>
      <c r="C18" s="18">
        <f>'Asset cost'!C18+Opex!C38</f>
        <v>256075.35204636099</v>
      </c>
      <c r="D18" s="18">
        <f>'Asset cost'!D18+Opex!D38</f>
        <v>256057.55995685223</v>
      </c>
      <c r="E18" s="18">
        <f>'Asset cost'!E18+Opex!E38</f>
        <v>257186.572815608</v>
      </c>
      <c r="F18" s="18">
        <f>'Asset cost'!F18+Opex!F38</f>
        <v>257296.06693500839</v>
      </c>
      <c r="G18" s="18">
        <f>'Asset cost'!G18+Opex!G38</f>
        <v>261254.12706464529</v>
      </c>
      <c r="H18" s="18">
        <f>'Asset cost'!H18+Opex!H38</f>
        <v>272680.27903929987</v>
      </c>
      <c r="I18" s="18">
        <f>'Asset cost'!I18+Opex!I38</f>
        <v>300566.75787905953</v>
      </c>
      <c r="J18" s="18">
        <f>'Asset cost'!J18+Opex!J38</f>
        <v>301776.45685566915</v>
      </c>
      <c r="K18" s="18">
        <f>'Asset cost'!K18+Opex!K38</f>
        <v>314411.17406171636</v>
      </c>
      <c r="L18" s="18">
        <f>'Asset cost'!L18+Opex!L38</f>
        <v>326802.00337494991</v>
      </c>
      <c r="M18" s="18">
        <f>'Asset cost'!M18+Opex!M38</f>
        <v>369397.09636679385</v>
      </c>
      <c r="N18" s="91">
        <f t="shared" si="0"/>
        <v>303247.3342421389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18"/>
  <sheetViews>
    <sheetView workbookViewId="0">
      <selection activeCell="M12" sqref="M12"/>
    </sheetView>
  </sheetViews>
  <sheetFormatPr defaultColWidth="9.140625" defaultRowHeight="15"/>
  <cols>
    <col min="1" max="1" width="34.7109375" style="2" customWidth="1"/>
    <col min="2" max="2" width="10.140625" style="2" bestFit="1" customWidth="1"/>
    <col min="3" max="13" width="12.28515625" style="2" customWidth="1"/>
    <col min="14" max="14" width="10.28515625" style="2" bestFit="1" customWidth="1"/>
    <col min="15" max="15" width="9.140625" style="2"/>
    <col min="16" max="16" width="17.42578125" style="2" bestFit="1" customWidth="1"/>
    <col min="17" max="16384" width="9.140625" style="2"/>
  </cols>
  <sheetData>
    <row r="1" spans="1:16">
      <c r="D1" s="83" t="s">
        <v>136</v>
      </c>
      <c r="E1" s="83"/>
    </row>
    <row r="2" spans="1:16">
      <c r="A2" s="2" t="s">
        <v>55</v>
      </c>
      <c r="B2" s="26">
        <f>AVERAGE([2]WACC!$J$22:$M$22)</f>
        <v>4.3043548412366364E-2</v>
      </c>
      <c r="D2" s="83" t="str">
        <f>IF(RAB!A24=Depreciation!A24,"valid","invalid")</f>
        <v>valid</v>
      </c>
      <c r="E2" s="83" t="s">
        <v>135</v>
      </c>
    </row>
    <row r="4" spans="1:16">
      <c r="A4" s="23" t="s">
        <v>160</v>
      </c>
    </row>
    <row r="5" spans="1:16">
      <c r="A5" s="23" t="str">
        <f>"Real "&amp;Real_year&amp;""</f>
        <v>Real 2016</v>
      </c>
      <c r="B5" s="25"/>
      <c r="C5" s="2">
        <v>2006</v>
      </c>
      <c r="D5" s="2">
        <v>2007</v>
      </c>
      <c r="E5" s="2">
        <v>2008</v>
      </c>
      <c r="F5" s="2">
        <v>2009</v>
      </c>
      <c r="G5" s="2">
        <v>2010</v>
      </c>
      <c r="H5" s="2">
        <v>2011</v>
      </c>
      <c r="I5" s="2">
        <v>2012</v>
      </c>
      <c r="J5" s="2">
        <v>2013</v>
      </c>
      <c r="K5" s="2">
        <v>2014</v>
      </c>
      <c r="L5" s="2">
        <v>2015</v>
      </c>
      <c r="M5" s="2">
        <v>2016</v>
      </c>
      <c r="N5" s="83" t="s">
        <v>133</v>
      </c>
    </row>
    <row r="6" spans="1:16">
      <c r="A6" s="17" t="s">
        <v>58</v>
      </c>
      <c r="B6" s="17" t="s">
        <v>30</v>
      </c>
      <c r="C6" s="18">
        <f>$B$2*RAB!C26-Depreciation!C26</f>
        <v>59948.350541989945</v>
      </c>
      <c r="D6" s="18">
        <f>$B$2*RAB!D26-Depreciation!D26</f>
        <v>60955.551090070192</v>
      </c>
      <c r="E6" s="18">
        <f>$B$2*RAB!E26-Depreciation!E26</f>
        <v>62203.974500818862</v>
      </c>
      <c r="F6" s="18">
        <f>$B$2*RAB!F26-Depreciation!F26</f>
        <v>63661.451065256537</v>
      </c>
      <c r="G6" s="18">
        <f>$B$2*RAB!G26-Depreciation!G26</f>
        <v>66398.649216481776</v>
      </c>
      <c r="H6" s="18">
        <f>$B$2*RAB!H26-Depreciation!H26</f>
        <v>70762.846669756385</v>
      </c>
      <c r="I6" s="18">
        <f>$B$2*RAB!I26-Depreciation!I26</f>
        <v>75375.580578772497</v>
      </c>
      <c r="J6" s="18">
        <f>$B$2*RAB!J26-Depreciation!J26</f>
        <v>79901.620104059693</v>
      </c>
      <c r="K6" s="18">
        <f>$B$2*RAB!K26-Depreciation!K26</f>
        <v>84537.525000583526</v>
      </c>
      <c r="L6" s="18">
        <f>$B$2*RAB!L26-Depreciation!L26</f>
        <v>97734.523758040945</v>
      </c>
      <c r="M6" s="18">
        <f>$B$2*RAB!M26-Depreciation!M26</f>
        <v>103091.5201763626</v>
      </c>
      <c r="N6" s="24">
        <f>AVERAGE(H6:L6)</f>
        <v>81662.419222242621</v>
      </c>
      <c r="P6" s="24"/>
    </row>
    <row r="7" spans="1:16">
      <c r="A7" s="17" t="s">
        <v>59</v>
      </c>
      <c r="B7" s="17" t="s">
        <v>30</v>
      </c>
      <c r="C7" s="18">
        <f>$B$2*RAB!C27-Depreciation!C27</f>
        <v>510662.89961140021</v>
      </c>
      <c r="D7" s="18">
        <f>$B$2*RAB!D27-Depreciation!D27</f>
        <v>552472.16352246923</v>
      </c>
      <c r="E7" s="18">
        <f>$B$2*RAB!E27-Depreciation!E27</f>
        <v>609658.28445035452</v>
      </c>
      <c r="F7" s="18">
        <f>$B$2*RAB!F27-Depreciation!F27</f>
        <v>674685.26763063634</v>
      </c>
      <c r="G7" s="18">
        <f>$B$2*RAB!G27-Depreciation!G27</f>
        <v>699101.90017129539</v>
      </c>
      <c r="H7" s="18">
        <f>$B$2*RAB!H27-Depreciation!H27</f>
        <v>795325.83271830599</v>
      </c>
      <c r="I7" s="18">
        <f>$B$2*RAB!I27-Depreciation!I27</f>
        <v>916646.0755506081</v>
      </c>
      <c r="J7" s="18">
        <f>$B$2*RAB!J27-Depreciation!J27</f>
        <v>1030174.3663961323</v>
      </c>
      <c r="K7" s="18">
        <f>$B$2*RAB!K27-Depreciation!K27</f>
        <v>1062131.5486661056</v>
      </c>
      <c r="L7" s="18">
        <f>$B$2*RAB!L27-Depreciation!L27</f>
        <v>1087974.5097113585</v>
      </c>
      <c r="M7" s="18">
        <f>$B$2*RAB!M27-Depreciation!M27</f>
        <v>1111956.0083402221</v>
      </c>
      <c r="N7" s="24">
        <f t="shared" ref="N7:N18" si="0">AVERAGE(H7:L7)</f>
        <v>978450.4666085022</v>
      </c>
    </row>
    <row r="8" spans="1:16">
      <c r="A8" s="17" t="s">
        <v>60</v>
      </c>
      <c r="B8" s="17" t="s">
        <v>30</v>
      </c>
      <c r="C8" s="18">
        <f>$B$2*RAB!C28-Depreciation!C28</f>
        <v>107077.2005893836</v>
      </c>
      <c r="D8" s="18">
        <f>$B$2*RAB!D28-Depreciation!D28</f>
        <v>108400.60211129577</v>
      </c>
      <c r="E8" s="18">
        <f>$B$2*RAB!E28-Depreciation!E28</f>
        <v>106368.89106646265</v>
      </c>
      <c r="F8" s="18">
        <f>$B$2*RAB!F28-Depreciation!F28</f>
        <v>111845.00273816418</v>
      </c>
      <c r="G8" s="18">
        <f>$B$2*RAB!G28-Depreciation!G28</f>
        <v>116385.73395750058</v>
      </c>
      <c r="H8" s="18">
        <f>$B$2*RAB!H28-Depreciation!H28</f>
        <v>107332.03923356553</v>
      </c>
      <c r="I8" s="18">
        <f>$B$2*RAB!I28-Depreciation!I28</f>
        <v>115142.40754011064</v>
      </c>
      <c r="J8" s="18">
        <f>$B$2*RAB!J28-Depreciation!J28</f>
        <v>121700.9977852943</v>
      </c>
      <c r="K8" s="18">
        <f>$B$2*RAB!K28-Depreciation!K28</f>
        <v>126919.12094759414</v>
      </c>
      <c r="L8" s="18">
        <f>$B$2*RAB!L28-Depreciation!L28</f>
        <v>133758.36729036603</v>
      </c>
      <c r="M8" s="18">
        <f>$B$2*RAB!M28-Depreciation!M28</f>
        <v>143396.59592482707</v>
      </c>
      <c r="N8" s="24">
        <f t="shared" si="0"/>
        <v>120970.58655938614</v>
      </c>
    </row>
    <row r="9" spans="1:16">
      <c r="A9" s="17" t="s">
        <v>61</v>
      </c>
      <c r="B9" s="17" t="s">
        <v>30</v>
      </c>
      <c r="C9" s="18">
        <f>$B$2*RAB!C29-Depreciation!C29</f>
        <v>296213.25290253217</v>
      </c>
      <c r="D9" s="18">
        <f>$B$2*RAB!D29-Depreciation!D29</f>
        <v>315956.19591725233</v>
      </c>
      <c r="E9" s="18">
        <f>$B$2*RAB!E29-Depreciation!E29</f>
        <v>340068.94085342612</v>
      </c>
      <c r="F9" s="18">
        <f>$B$2*RAB!F29-Depreciation!F29</f>
        <v>357035.17125079315</v>
      </c>
      <c r="G9" s="18">
        <f>$B$2*RAB!G29-Depreciation!G29</f>
        <v>408710.8131248866</v>
      </c>
      <c r="H9" s="18">
        <f>$B$2*RAB!H29-Depreciation!H29</f>
        <v>388232.54168447654</v>
      </c>
      <c r="I9" s="18">
        <f>$B$2*RAB!I29-Depreciation!I29</f>
        <v>402202.89698114654</v>
      </c>
      <c r="J9" s="18">
        <f>$B$2*RAB!J29-Depreciation!J29</f>
        <v>416250.16839043348</v>
      </c>
      <c r="K9" s="18">
        <f>$B$2*RAB!K29-Depreciation!K29</f>
        <v>422693.35413297219</v>
      </c>
      <c r="L9" s="18">
        <f>$B$2*RAB!L29-Depreciation!L29</f>
        <v>404459.20638004667</v>
      </c>
      <c r="M9" s="18">
        <f>$B$2*RAB!M29-Depreciation!M29</f>
        <v>419689.84545659996</v>
      </c>
      <c r="N9" s="24">
        <f t="shared" si="0"/>
        <v>406767.63351381512</v>
      </c>
    </row>
    <row r="10" spans="1:16">
      <c r="A10" s="17" t="s">
        <v>62</v>
      </c>
      <c r="B10" s="17" t="s">
        <v>30</v>
      </c>
      <c r="C10" s="18">
        <f>$B$2*RAB!C30-Depreciation!C30</f>
        <v>424663.55036183051</v>
      </c>
      <c r="D10" s="18">
        <f>$B$2*RAB!D30-Depreciation!D30</f>
        <v>465129.60830848257</v>
      </c>
      <c r="E10" s="18">
        <f>$B$2*RAB!E30-Depreciation!E30</f>
        <v>489290.22822627833</v>
      </c>
      <c r="F10" s="18">
        <f>$B$2*RAB!F30-Depreciation!F30</f>
        <v>492641.70116193907</v>
      </c>
      <c r="G10" s="18">
        <f>$B$2*RAB!G30-Depreciation!G30</f>
        <v>528886.14318293845</v>
      </c>
      <c r="H10" s="18">
        <f>$B$2*RAB!H30-Depreciation!H30</f>
        <v>573903.40785010066</v>
      </c>
      <c r="I10" s="18">
        <f>$B$2*RAB!I30-Depreciation!I30</f>
        <v>592308.36436529714</v>
      </c>
      <c r="J10" s="18">
        <f>$B$2*RAB!J30-Depreciation!J30</f>
        <v>621404.79708054336</v>
      </c>
      <c r="K10" s="18">
        <f>$B$2*RAB!K30-Depreciation!K30</f>
        <v>647648.14692028798</v>
      </c>
      <c r="L10" s="18">
        <f>$B$2*RAB!L30-Depreciation!L30</f>
        <v>644773.3484187643</v>
      </c>
      <c r="M10" s="18">
        <f>$B$2*RAB!M30-Depreciation!M30</f>
        <v>616431.32185558474</v>
      </c>
      <c r="N10" s="24">
        <f t="shared" si="0"/>
        <v>616007.61292699864</v>
      </c>
    </row>
    <row r="11" spans="1:16">
      <c r="A11" s="17" t="s">
        <v>63</v>
      </c>
      <c r="B11" s="17" t="s">
        <v>30</v>
      </c>
      <c r="C11" s="18">
        <f>$B$2*RAB!C31-Depreciation!C31</f>
        <v>490029.20152275742</v>
      </c>
      <c r="D11" s="18">
        <f>$B$2*RAB!D31-Depreciation!D31</f>
        <v>516031.72924043983</v>
      </c>
      <c r="E11" s="18">
        <f>$B$2*RAB!E31-Depreciation!E31</f>
        <v>521565.46099346876</v>
      </c>
      <c r="F11" s="18">
        <f>$B$2*RAB!F31-Depreciation!F31</f>
        <v>539630.98912065872</v>
      </c>
      <c r="G11" s="18">
        <f>$B$2*RAB!G31-Depreciation!G31</f>
        <v>566753.89931130246</v>
      </c>
      <c r="H11" s="18">
        <f>$B$2*RAB!H31-Depreciation!H31</f>
        <v>572158.25515770167</v>
      </c>
      <c r="I11" s="18">
        <f>$B$2*RAB!I31-Depreciation!I31</f>
        <v>609567.12443052349</v>
      </c>
      <c r="J11" s="18">
        <f>$B$2*RAB!J31-Depreciation!J31</f>
        <v>622142.81207018625</v>
      </c>
      <c r="K11" s="18">
        <f>$B$2*RAB!K31-Depreciation!K31</f>
        <v>645418.66499495506</v>
      </c>
      <c r="L11" s="18">
        <f>$B$2*RAB!L31-Depreciation!L31</f>
        <v>642608.77076171525</v>
      </c>
      <c r="M11" s="18">
        <f>$B$2*RAB!M31-Depreciation!M31</f>
        <v>643765.86475599674</v>
      </c>
      <c r="N11" s="24">
        <f t="shared" si="0"/>
        <v>618379.12548301625</v>
      </c>
    </row>
    <row r="12" spans="1:16">
      <c r="A12" s="17" t="s">
        <v>64</v>
      </c>
      <c r="B12" s="17" t="s">
        <v>30</v>
      </c>
      <c r="C12" s="18">
        <f>$B$2*RAB!C32-Depreciation!C32</f>
        <v>332159.36310135224</v>
      </c>
      <c r="D12" s="18">
        <f>$B$2*RAB!D32-Depreciation!D32</f>
        <v>360088.9474846404</v>
      </c>
      <c r="E12" s="18">
        <f>$B$2*RAB!E32-Depreciation!E32</f>
        <v>400130.91165513033</v>
      </c>
      <c r="F12" s="18">
        <f>$B$2*RAB!F32-Depreciation!F32</f>
        <v>440883.12772530643</v>
      </c>
      <c r="G12" s="18">
        <f>$B$2*RAB!G32-Depreciation!G32</f>
        <v>502446.97657079401</v>
      </c>
      <c r="H12" s="18">
        <f>$B$2*RAB!H32-Depreciation!H32</f>
        <v>547502.13721238612</v>
      </c>
      <c r="I12" s="18">
        <f>$B$2*RAB!I32-Depreciation!I32</f>
        <v>531503.20469616714</v>
      </c>
      <c r="J12" s="18">
        <f>$B$2*RAB!J32-Depreciation!J32</f>
        <v>583792.23589077499</v>
      </c>
      <c r="K12" s="18">
        <f>$B$2*RAB!K32-Depreciation!K32</f>
        <v>608944.85003642784</v>
      </c>
      <c r="L12" s="18">
        <f>$B$2*RAB!L32-Depreciation!L32</f>
        <v>562775.61854796531</v>
      </c>
      <c r="M12" s="18">
        <f>$B$2*RAB!M32-Depreciation!M32</f>
        <v>594911.86648828012</v>
      </c>
      <c r="N12" s="24">
        <f t="shared" si="0"/>
        <v>566903.6092767443</v>
      </c>
    </row>
    <row r="13" spans="1:16">
      <c r="A13" s="17" t="s">
        <v>65</v>
      </c>
      <c r="B13" s="17" t="s">
        <v>30</v>
      </c>
      <c r="C13" s="18">
        <f>$B$2*RAB!C33-Depreciation!C33</f>
        <v>63759.357074279411</v>
      </c>
      <c r="D13" s="18">
        <f>$B$2*RAB!D33-Depreciation!D33</f>
        <v>67680.000647612527</v>
      </c>
      <c r="E13" s="18">
        <f>$B$2*RAB!E33-Depreciation!E33</f>
        <v>67677.911783820804</v>
      </c>
      <c r="F13" s="18">
        <f>$B$2*RAB!F33-Depreciation!F33</f>
        <v>69940.301067418302</v>
      </c>
      <c r="G13" s="18">
        <f>$B$2*RAB!G33-Depreciation!G33</f>
        <v>71195.726404706642</v>
      </c>
      <c r="H13" s="18">
        <f>$B$2*RAB!H33-Depreciation!H33</f>
        <v>73242.72975135372</v>
      </c>
      <c r="I13" s="18">
        <f>$B$2*RAB!I33-Depreciation!I33</f>
        <v>84831.815837071044</v>
      </c>
      <c r="J13" s="18">
        <f>$B$2*RAB!J33-Depreciation!J33</f>
        <v>95266.41022531208</v>
      </c>
      <c r="K13" s="18">
        <f>$B$2*RAB!K33-Depreciation!K33</f>
        <v>101731.27153281588</v>
      </c>
      <c r="L13" s="18">
        <f>$B$2*RAB!L33-Depreciation!L33</f>
        <v>106906.00923430329</v>
      </c>
      <c r="M13" s="18">
        <f>$B$2*RAB!M33-Depreciation!M33</f>
        <v>121637.36200787689</v>
      </c>
      <c r="N13" s="24">
        <f t="shared" si="0"/>
        <v>92395.647316171206</v>
      </c>
    </row>
    <row r="14" spans="1:16">
      <c r="A14" s="17" t="s">
        <v>66</v>
      </c>
      <c r="B14" s="17" t="s">
        <v>30</v>
      </c>
      <c r="C14" s="18">
        <f>$B$2*RAB!C34-Depreciation!C34</f>
        <v>171935.00382188242</v>
      </c>
      <c r="D14" s="18">
        <f>$B$2*RAB!D34-Depreciation!D34</f>
        <v>179468.42625734163</v>
      </c>
      <c r="E14" s="18">
        <f>$B$2*RAB!E34-Depreciation!E34</f>
        <v>181043.09641983529</v>
      </c>
      <c r="F14" s="18">
        <f>$B$2*RAB!F34-Depreciation!F34</f>
        <v>192456.04096379486</v>
      </c>
      <c r="G14" s="18">
        <f>$B$2*RAB!G34-Depreciation!G34</f>
        <v>198420.34817282087</v>
      </c>
      <c r="H14" s="18">
        <f>$B$2*RAB!H34-Depreciation!H34</f>
        <v>191890.96563273351</v>
      </c>
      <c r="I14" s="18">
        <f>$B$2*RAB!I34-Depreciation!I34</f>
        <v>209595.60407008245</v>
      </c>
      <c r="J14" s="18">
        <f>$B$2*RAB!J34-Depreciation!J34</f>
        <v>225217.81735335727</v>
      </c>
      <c r="K14" s="18">
        <f>$B$2*RAB!K34-Depreciation!K34</f>
        <v>238244.44655603025</v>
      </c>
      <c r="L14" s="18">
        <f>$B$2*RAB!L34-Depreciation!L34</f>
        <v>256007.82764193116</v>
      </c>
      <c r="M14" s="18">
        <f>$B$2*RAB!M34-Depreciation!M34</f>
        <v>272813.73284732975</v>
      </c>
      <c r="N14" s="24">
        <f t="shared" si="0"/>
        <v>224191.33225082693</v>
      </c>
    </row>
    <row r="15" spans="1:16">
      <c r="A15" s="17" t="s">
        <v>69</v>
      </c>
      <c r="B15" s="17" t="s">
        <v>30</v>
      </c>
      <c r="C15" s="18">
        <f>$B$2*RAB!C35-Depreciation!C35</f>
        <v>312208.34336493304</v>
      </c>
      <c r="D15" s="18">
        <f>$B$2*RAB!D35-Depreciation!D35</f>
        <v>322238.20343989274</v>
      </c>
      <c r="E15" s="18">
        <f>$B$2*RAB!E35-Depreciation!E35</f>
        <v>324915.57194732392</v>
      </c>
      <c r="F15" s="18">
        <f>$B$2*RAB!F35-Depreciation!F35</f>
        <v>329707.78119609994</v>
      </c>
      <c r="G15" s="18">
        <f>$B$2*RAB!G35-Depreciation!G35</f>
        <v>341580.92893704306</v>
      </c>
      <c r="H15" s="18">
        <f>$B$2*RAB!H35-Depreciation!H35</f>
        <v>319985.80400860717</v>
      </c>
      <c r="I15" s="18">
        <f>$B$2*RAB!I35-Depreciation!I35</f>
        <v>333127.5854538834</v>
      </c>
      <c r="J15" s="18">
        <f>$B$2*RAB!J35-Depreciation!J35</f>
        <v>355844.10558735114</v>
      </c>
      <c r="K15" s="18">
        <f>$B$2*RAB!K35-Depreciation!K35</f>
        <v>373446.9762603346</v>
      </c>
      <c r="L15" s="18">
        <f>$B$2*RAB!L35-Depreciation!L35</f>
        <v>393972.51073143689</v>
      </c>
      <c r="M15" s="18">
        <f>$B$2*RAB!M35-Depreciation!M35</f>
        <v>355883.2856894742</v>
      </c>
      <c r="N15" s="24">
        <f t="shared" si="0"/>
        <v>355275.39640832262</v>
      </c>
    </row>
    <row r="16" spans="1:16">
      <c r="A16" s="17" t="s">
        <v>74</v>
      </c>
      <c r="B16" s="17" t="s">
        <v>30</v>
      </c>
      <c r="C16" s="18">
        <f>$B$2*RAB!C36-Depreciation!C36</f>
        <v>144926.32576081881</v>
      </c>
      <c r="D16" s="18">
        <f>$B$2*RAB!D36-Depreciation!D36</f>
        <v>160525.46692945913</v>
      </c>
      <c r="E16" s="18">
        <f>$B$2*RAB!E36-Depreciation!E36</f>
        <v>168616.7913482259</v>
      </c>
      <c r="F16" s="18">
        <f>$B$2*RAB!F36-Depreciation!F36</f>
        <v>186320.78360554273</v>
      </c>
      <c r="G16" s="18">
        <f>$B$2*RAB!G36-Depreciation!G36</f>
        <v>199358.88774465054</v>
      </c>
      <c r="H16" s="18">
        <f>$B$2*RAB!H36-Depreciation!H36</f>
        <v>248872.6828972834</v>
      </c>
      <c r="I16" s="18">
        <f>$B$2*RAB!I36-Depreciation!I36</f>
        <v>237120.90629439801</v>
      </c>
      <c r="J16" s="18">
        <f>$B$2*RAB!J36-Depreciation!J36</f>
        <v>263398.61239742796</v>
      </c>
      <c r="K16" s="18">
        <f>$B$2*RAB!K36-Depreciation!K36</f>
        <v>270722.81985329423</v>
      </c>
      <c r="L16" s="18">
        <f>$B$2*RAB!L36-Depreciation!L36</f>
        <v>284263.79617077362</v>
      </c>
      <c r="M16" s="18">
        <f>$B$2*RAB!M36-Depreciation!M36</f>
        <v>338079.88981005212</v>
      </c>
      <c r="N16" s="24">
        <f t="shared" si="0"/>
        <v>260875.76352263545</v>
      </c>
    </row>
    <row r="17" spans="1:14">
      <c r="A17" s="17" t="s">
        <v>68</v>
      </c>
      <c r="B17" s="17" t="s">
        <v>30</v>
      </c>
      <c r="C17" s="18">
        <f>$B$2*RAB!C37-Depreciation!C37</f>
        <v>100686.43255819604</v>
      </c>
      <c r="D17" s="18">
        <f>$B$2*RAB!D37-Depreciation!D37</f>
        <v>110643.41065700876</v>
      </c>
      <c r="E17" s="18">
        <f>$B$2*RAB!E37-Depreciation!E37</f>
        <v>112019.9506137163</v>
      </c>
      <c r="F17" s="18">
        <f>$B$2*RAB!F37-Depreciation!F37</f>
        <v>105557.37673252569</v>
      </c>
      <c r="G17" s="18">
        <f>$B$2*RAB!G37-Depreciation!G37</f>
        <v>117737.50282400749</v>
      </c>
      <c r="H17" s="18">
        <f>$B$2*RAB!H37-Depreciation!H37</f>
        <v>128143.1732123557</v>
      </c>
      <c r="I17" s="18">
        <f>$B$2*RAB!I37-Depreciation!I37</f>
        <v>135263.62180392561</v>
      </c>
      <c r="J17" s="18">
        <f>$B$2*RAB!J37-Depreciation!J37</f>
        <v>138013.85181680619</v>
      </c>
      <c r="K17" s="18">
        <f>$B$2*RAB!K37-Depreciation!K37</f>
        <v>139956.02467769754</v>
      </c>
      <c r="L17" s="18">
        <f>$B$2*RAB!L37-Depreciation!L37</f>
        <v>145211.0022882476</v>
      </c>
      <c r="M17" s="18">
        <f>$B$2*RAB!M37-Depreciation!M37</f>
        <v>147438.5341876871</v>
      </c>
      <c r="N17" s="24">
        <f t="shared" si="0"/>
        <v>137317.53475980653</v>
      </c>
    </row>
    <row r="18" spans="1:14">
      <c r="A18" s="17" t="s">
        <v>67</v>
      </c>
      <c r="B18" s="17" t="s">
        <v>30</v>
      </c>
      <c r="C18" s="18">
        <f>$B$2*RAB!C38-Depreciation!C38</f>
        <v>149485.48010223993</v>
      </c>
      <c r="D18" s="18">
        <f>$B$2*RAB!D38-Depreciation!D38</f>
        <v>153867.93623963447</v>
      </c>
      <c r="E18" s="18">
        <f>$B$2*RAB!E38-Depreciation!E38</f>
        <v>154615.31196413236</v>
      </c>
      <c r="F18" s="18">
        <f>$B$2*RAB!F38-Depreciation!F38</f>
        <v>151857.19207769627</v>
      </c>
      <c r="G18" s="18">
        <f>$B$2*RAB!G38-Depreciation!G38</f>
        <v>150875.13623398484</v>
      </c>
      <c r="H18" s="18">
        <f>$B$2*RAB!H38-Depreciation!H38</f>
        <v>137406.05417397761</v>
      </c>
      <c r="I18" s="18">
        <f>$B$2*RAB!I38-Depreciation!I38</f>
        <v>161949.35618689589</v>
      </c>
      <c r="J18" s="18">
        <f>$B$2*RAB!J38-Depreciation!J38</f>
        <v>177464.16096998466</v>
      </c>
      <c r="K18" s="18">
        <f>$B$2*RAB!K38-Depreciation!K38</f>
        <v>187825.26289783692</v>
      </c>
      <c r="L18" s="18">
        <f>$B$2*RAB!L38-Depreciation!L38</f>
        <v>206342.79963362979</v>
      </c>
      <c r="M18" s="18">
        <f>$B$2*RAB!M38-Depreciation!M38</f>
        <v>229184.63078251385</v>
      </c>
      <c r="N18" s="24">
        <f t="shared" si="0"/>
        <v>174197.526772465</v>
      </c>
    </row>
  </sheetData>
  <sortState ref="A22:K34">
    <sortCondition descending="1" ref="J22:J3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0"/>
  <sheetViews>
    <sheetView zoomScale="80" zoomScaleNormal="80" workbookViewId="0">
      <pane xSplit="1" ySplit="7" topLeftCell="B8" activePane="bottomRight" state="frozen"/>
      <selection pane="topRight" activeCell="B1" sqref="B1"/>
      <selection pane="bottomLeft" activeCell="A2" sqref="A2"/>
      <selection pane="bottomRight" activeCell="M10" sqref="M10"/>
    </sheetView>
  </sheetViews>
  <sheetFormatPr defaultColWidth="9.140625" defaultRowHeight="15"/>
  <cols>
    <col min="1" max="2" width="11.85546875" style="2" customWidth="1"/>
    <col min="3" max="13" width="13.140625" style="2" customWidth="1"/>
    <col min="14" max="14" width="12.7109375" style="2" customWidth="1"/>
    <col min="15" max="16384" width="9.140625" style="2"/>
  </cols>
  <sheetData>
    <row r="1" spans="1:36">
      <c r="A1" s="23" t="s">
        <v>107</v>
      </c>
      <c r="B1" s="85" t="str">
        <f>"Real "&amp;Real_year&amp;""</f>
        <v>Real 2016</v>
      </c>
      <c r="C1" s="2">
        <v>2006</v>
      </c>
      <c r="D1" s="2">
        <v>2007</v>
      </c>
      <c r="E1" s="2">
        <v>2008</v>
      </c>
      <c r="F1" s="2">
        <v>2009</v>
      </c>
      <c r="G1" s="2">
        <v>2010</v>
      </c>
      <c r="H1" s="2">
        <v>2011</v>
      </c>
      <c r="I1" s="2">
        <v>2012</v>
      </c>
      <c r="J1" s="2">
        <v>2013</v>
      </c>
      <c r="K1" s="2">
        <v>2014</v>
      </c>
      <c r="L1" s="2">
        <v>2015</v>
      </c>
      <c r="M1" s="2">
        <v>2016</v>
      </c>
    </row>
    <row r="2" spans="1:36">
      <c r="A2" s="2" t="s">
        <v>29</v>
      </c>
      <c r="C2" s="16">
        <f>CPI!F9</f>
        <v>1.2805587892898718</v>
      </c>
      <c r="D2" s="16">
        <f>CPI!G9</f>
        <v>1.2542759407069555</v>
      </c>
      <c r="E2" s="16">
        <f>CPI!H9</f>
        <v>1.2008733624454149</v>
      </c>
      <c r="F2" s="16">
        <f>CPI!I9</f>
        <v>1.1840688912809472</v>
      </c>
      <c r="G2" s="16">
        <f>CPI!J9</f>
        <v>1.1482254697286012</v>
      </c>
      <c r="H2" s="16">
        <f>CPI!K9</f>
        <v>1.1088709677419355</v>
      </c>
      <c r="I2" s="16">
        <f>CPI!L9</f>
        <v>1.095617529880478</v>
      </c>
      <c r="J2" s="16">
        <f>CPI!M9</f>
        <v>1.0700389105058365</v>
      </c>
      <c r="K2" s="16">
        <f>CPI!N9</f>
        <v>1.0387157695939566</v>
      </c>
      <c r="L2" s="16">
        <f>CPI!O9</f>
        <v>1.0232558139534884</v>
      </c>
      <c r="M2" s="16">
        <f>CPI!P9</f>
        <v>1.0128913443830572</v>
      </c>
    </row>
    <row r="3" spans="1:36">
      <c r="A3" s="2" t="s">
        <v>28</v>
      </c>
      <c r="C3" s="16">
        <f>CPI!F10</f>
        <v>1.3126491646778042</v>
      </c>
      <c r="D3" s="16">
        <f>CPI!G10</f>
        <v>1.2702078521939955</v>
      </c>
      <c r="E3" s="16">
        <f>CPI!H10</f>
        <v>1.2345679012345681</v>
      </c>
      <c r="F3" s="16">
        <f>CPI!I10</f>
        <v>1.1904761904761905</v>
      </c>
      <c r="G3" s="16">
        <f>CPI!J10</f>
        <v>1.166489925768823</v>
      </c>
      <c r="H3" s="16">
        <f>CPI!K10</f>
        <v>1.1351909184726521</v>
      </c>
      <c r="I3" s="16">
        <f>CPI!L10</f>
        <v>1.1022044088176353</v>
      </c>
      <c r="J3" s="16">
        <f>CPI!M10</f>
        <v>1.0784313725490196</v>
      </c>
      <c r="K3" s="16">
        <f>CPI!N10</f>
        <v>1.0496183206106871</v>
      </c>
      <c r="L3" s="16">
        <f>CPI!O10</f>
        <v>1.0318949343339587</v>
      </c>
      <c r="M3" s="16">
        <f>CPI!P10</f>
        <v>1.014760147601476</v>
      </c>
    </row>
    <row r="7" spans="1:36">
      <c r="A7" s="23" t="s">
        <v>157</v>
      </c>
    </row>
    <row r="8" spans="1:36">
      <c r="A8" s="85" t="s">
        <v>99</v>
      </c>
    </row>
    <row r="9" spans="1:36">
      <c r="C9" s="2">
        <v>2006</v>
      </c>
      <c r="D9" s="2">
        <v>2007</v>
      </c>
      <c r="E9" s="2">
        <v>2008</v>
      </c>
      <c r="F9" s="2">
        <v>2009</v>
      </c>
      <c r="G9" s="2">
        <v>2010</v>
      </c>
      <c r="H9" s="2">
        <v>2011</v>
      </c>
      <c r="I9" s="2">
        <v>2012</v>
      </c>
      <c r="J9" s="2">
        <v>2013</v>
      </c>
      <c r="K9" s="2">
        <v>2014</v>
      </c>
      <c r="L9" s="2">
        <v>2015</v>
      </c>
      <c r="M9" s="2">
        <v>2016</v>
      </c>
    </row>
    <row r="10" spans="1:36">
      <c r="A10" s="17" t="s">
        <v>1</v>
      </c>
      <c r="B10" s="17" t="s">
        <v>30</v>
      </c>
      <c r="C10" s="86">
        <f>AVERAGE('[3]4. Assets (RAB)'!D8,'[3]4. Assets (RAB)'!D14)</f>
        <v>512056.96339221159</v>
      </c>
      <c r="D10" s="86">
        <f>AVERAGE('[3]4. Assets (RAB)'!E8,'[3]4. Assets (RAB)'!E14)</f>
        <v>530585.05173836625</v>
      </c>
      <c r="E10" s="86">
        <f>AVERAGE('[3]4. Assets (RAB)'!F8,'[3]4. Assets (RAB)'!F14)</f>
        <v>553280.63973249658</v>
      </c>
      <c r="F10" s="86">
        <f>AVERAGE('[3]4. Assets (RAB)'!G8,'[3]4. Assets (RAB)'!G14)</f>
        <v>576121.94901735405</v>
      </c>
      <c r="G10" s="86">
        <f>AVERAGE('[3]4. Assets (RAB)'!H8,'[3]4. Assets (RAB)'!H14)</f>
        <v>611408.1409015602</v>
      </c>
      <c r="H10" s="86">
        <f>AVERAGE('[3]4. Assets (RAB)'!I8,'[3]4. Assets (RAB)'!I14)</f>
        <v>663508.64647382114</v>
      </c>
      <c r="I10" s="86">
        <f>AVERAGE('[3]4. Assets (RAB)'!J8,'[3]4. Assets (RAB)'!J14)</f>
        <v>720056.99553153128</v>
      </c>
      <c r="J10" s="86">
        <f>AVERAGE('[3]4. Assets (RAB)'!K8,'[3]4. Assets (RAB)'!K14)</f>
        <v>767952.11987094837</v>
      </c>
      <c r="K10" s="86">
        <f>AVERAGE('[4]3.3 Assets (RAB)'!$E$13,'[4]3.3 Assets (RAB)'!$E$19)</f>
        <v>817740.209366214</v>
      </c>
      <c r="L10" s="86">
        <f>AVERAGE('[5]3.3 Assets (RAB)'!$E$13,'[5]3.3 Assets (RAB)'!$E$19)/1000</f>
        <v>920659.44700000004</v>
      </c>
      <c r="M10" s="86">
        <f>AVERAGE('[6]3.3 Assets (RAB)'!$C$13,'[6]3.3 Assets (RAB)'!$C$18)/1000</f>
        <v>951009.58600000001</v>
      </c>
      <c r="AA10" s="24"/>
      <c r="AB10" s="24"/>
      <c r="AC10" s="24"/>
      <c r="AD10" s="24"/>
      <c r="AE10" s="24"/>
      <c r="AF10" s="24"/>
      <c r="AG10" s="24"/>
      <c r="AH10" s="24"/>
      <c r="AI10" s="24"/>
      <c r="AJ10" s="24"/>
    </row>
    <row r="11" spans="1:36">
      <c r="A11" s="17" t="s">
        <v>78</v>
      </c>
      <c r="B11" s="17" t="s">
        <v>30</v>
      </c>
      <c r="C11" s="45">
        <f>('[7]4. Assets (RAB)'!D8+'[7]4. Assets (RAB)'!D14)/2-Zonesubstationtransformation!S60</f>
        <v>4730627.4188083671</v>
      </c>
      <c r="D11" s="45">
        <f>('[7]4. Assets (RAB)'!E8+'[7]4. Assets (RAB)'!E14)/2-Zonesubstationtransformation!T60</f>
        <v>5291261.6216702731</v>
      </c>
      <c r="E11" s="45">
        <f>('[7]4. Assets (RAB)'!F8+'[7]4. Assets (RAB)'!F14)/2-Zonesubstationtransformation!U60</f>
        <v>5991752.8156880932</v>
      </c>
      <c r="F11" s="45">
        <f>('[7]4. Assets (RAB)'!G8+'[7]4. Assets (RAB)'!G14)/2-Zonesubstationtransformation!V60</f>
        <v>6874106.0512570562</v>
      </c>
      <c r="G11" s="45">
        <f>('[7]4. Assets (RAB)'!H8+'[7]4. Assets (RAB)'!H14)/2-Zonesubstationtransformation!W60</f>
        <v>7943820.1166102244</v>
      </c>
      <c r="H11" s="45">
        <f>('[7]4. Assets (RAB)'!I8+'[7]4. Assets (RAB)'!I14)/2-Zonesubstationtransformation!X60</f>
        <v>9187508.6515574642</v>
      </c>
      <c r="I11" s="45">
        <f>('[7]4. Assets (RAB)'!J8+'[7]4. Assets (RAB)'!J14)/2-Zonesubstationtransformation!Y60</f>
        <v>10693665.316730492</v>
      </c>
      <c r="J11" s="45">
        <f>('[7]4. Assets (RAB)'!K8+'[7]4. Assets (RAB)'!K14)/2-Zonesubstationtransformation!Z60</f>
        <v>11966892.982168954</v>
      </c>
      <c r="K11" s="48">
        <f>AVERAGE('[8]3.3 Assets (RAB)'!$E$13,'[8]3.3 Assets (RAB)'!$E$19)-Zonesubstationtransformation!AA60</f>
        <v>12827741.379916806</v>
      </c>
      <c r="L11" s="86">
        <f>AVERAGE('[9]3.3 Assets (RAB)'!$E$13,'[9]3.3 Assets (RAB)'!$E$19)-Zonesubstationtransformation!AB60</f>
        <v>13420894.78729214</v>
      </c>
      <c r="M11" s="121">
        <f>(AVERAGE('[10]3.3 Assets (RAB)'!$C$13,'[10]3.3 Assets (RAB)'!$C$18)/1000)-Zonesubstationtransformation!AC60</f>
        <v>13614478.780696845</v>
      </c>
      <c r="AA11" s="24"/>
      <c r="AB11" s="24"/>
      <c r="AC11" s="24"/>
      <c r="AD11" s="24"/>
      <c r="AE11" s="24"/>
      <c r="AF11" s="24"/>
      <c r="AG11" s="24"/>
      <c r="AH11" s="24"/>
      <c r="AI11" s="24"/>
      <c r="AJ11" s="24"/>
    </row>
    <row r="12" spans="1:36">
      <c r="A12" s="17" t="s">
        <v>2</v>
      </c>
      <c r="B12" s="17" t="s">
        <v>30</v>
      </c>
      <c r="C12" s="45">
        <f>('[11]4. Assets (RAB)'!D8+'[11]4. Assets (RAB)'!D14)/2</f>
        <v>791923.86826824583</v>
      </c>
      <c r="D12" s="45">
        <f>('[11]4. Assets (RAB)'!E8+'[11]4. Assets (RAB)'!E14)/2</f>
        <v>834106.82428063126</v>
      </c>
      <c r="E12" s="45">
        <f>('[11]4. Assets (RAB)'!F8+'[11]4. Assets (RAB)'!F14)/2</f>
        <v>870476.55203537247</v>
      </c>
      <c r="F12" s="45">
        <f>('[11]4. Assets (RAB)'!G8+'[11]4. Assets (RAB)'!G14)/2</f>
        <v>919908.27588797815</v>
      </c>
      <c r="G12" s="45">
        <f>('[11]4. Assets (RAB)'!H8+'[11]4. Assets (RAB)'!H14)/2</f>
        <v>998565.84859060741</v>
      </c>
      <c r="H12" s="45">
        <f>('[11]4. Assets (RAB)'!I8+'[11]4. Assets (RAB)'!I14)/2</f>
        <v>1075196.7035185141</v>
      </c>
      <c r="I12" s="45">
        <f>('[11]4. Assets (RAB)'!J8+'[11]4. Assets (RAB)'!J14)/2</f>
        <v>1163338.6642380334</v>
      </c>
      <c r="J12" s="45">
        <f>('[11]4. Assets (RAB)'!K8+'[11]4. Assets (RAB)'!K14)/2</f>
        <v>1244496.7204324673</v>
      </c>
      <c r="K12" s="48">
        <f>AVERAGE('[12]3.3 Assets (RAB)'!$E$13,'[12]3.3 Assets (RAB)'!$E$19)</f>
        <v>1330572.6204960593</v>
      </c>
      <c r="L12" s="48">
        <f>AVERAGE('[13]3.3 Assets (RAB)'!$E$13,'[13]3.3 Assets (RAB)'!$E$19)/1000</f>
        <v>1391908.268901977</v>
      </c>
      <c r="M12" s="122">
        <f>AVERAGE('[14]3.3 Assets (RAB)'!$C$13,'[14]3.3 Assets (RAB)'!$C$18)/1000</f>
        <v>1454645.3219999999</v>
      </c>
      <c r="AA12" s="24"/>
      <c r="AB12" s="24"/>
      <c r="AC12" s="24"/>
      <c r="AD12" s="24"/>
      <c r="AE12" s="24"/>
      <c r="AF12" s="24"/>
      <c r="AG12" s="24"/>
      <c r="AH12" s="24"/>
      <c r="AI12" s="24"/>
      <c r="AJ12" s="24"/>
    </row>
    <row r="13" spans="1:36">
      <c r="A13" s="17" t="s">
        <v>3</v>
      </c>
      <c r="B13" s="17" t="s">
        <v>30</v>
      </c>
      <c r="C13" s="45">
        <f>('[15]4. Assets (RAB)'!D8+'[15]4. Assets (RAB)'!D14)/2-Zonesubstationtransformation!S62</f>
        <v>2263747.0501156356</v>
      </c>
      <c r="D13" s="45">
        <f>('[15]4. Assets (RAB)'!E8+'[15]4. Assets (RAB)'!E14)/2-Zonesubstationtransformation!T62</f>
        <v>2480250.6378498641</v>
      </c>
      <c r="E13" s="45">
        <f>('[15]4. Assets (RAB)'!F8+'[15]4. Assets (RAB)'!F14)/2-Zonesubstationtransformation!U62</f>
        <v>2698320.215259857</v>
      </c>
      <c r="F13" s="45">
        <f>('[15]4. Assets (RAB)'!G8+'[15]4. Assets (RAB)'!G14)/2-Zonesubstationtransformation!V62</f>
        <v>2947391.0787556134</v>
      </c>
      <c r="G13" s="45">
        <f>('[15]4. Assets (RAB)'!H8+'[15]4. Assets (RAB)'!H14)/2-Zonesubstationtransformation!W62</f>
        <v>3188608.6357142515</v>
      </c>
      <c r="H13" s="45">
        <f>('[15]4. Assets (RAB)'!I8+'[15]4. Assets (RAB)'!I14)/2-Zonesubstationtransformation!X62</f>
        <v>3422796.5805466208</v>
      </c>
      <c r="I13" s="45">
        <f>('[15]4. Assets (RAB)'!J8+'[15]4. Assets (RAB)'!J14)/2-Zonesubstationtransformation!Y62</f>
        <v>3764879.7127530556</v>
      </c>
      <c r="J13" s="45">
        <f>('[15]4. Assets (RAB)'!K8+'[15]4. Assets (RAB)'!K14)/2-Zonesubstationtransformation!Z62</f>
        <v>4158023.7605830552</v>
      </c>
      <c r="K13" s="86">
        <f>AVERAGE('[16]3.3 Assets (RAB)'!$E$13,'[16]3.3 Assets (RAB)'!$E$19)-Zonesubstationtransformation!AA62</f>
        <v>4567613.5183857847</v>
      </c>
      <c r="L13" s="48">
        <f>AVERAGE('[17]3.3 Assets (RAB)'!$E$13,'[17]3.3 Assets (RAB)'!$E$19)/1000-Zonesubstationtransformation!AB62</f>
        <v>4936552.4754080409</v>
      </c>
      <c r="M13" s="122">
        <f>AVERAGE('[18]3.3 Assets (RAB)'!$C$13,'[18]3.3 Assets (RAB)'!$C$18)/1000-Zonesubstationtransformation!AC62</f>
        <v>5127236.9018054148</v>
      </c>
      <c r="AA13" s="24"/>
      <c r="AB13" s="24"/>
      <c r="AC13" s="24"/>
      <c r="AD13" s="24"/>
      <c r="AE13" s="24"/>
      <c r="AF13" s="24"/>
      <c r="AG13" s="24"/>
      <c r="AH13" s="24"/>
      <c r="AI13" s="24"/>
      <c r="AJ13" s="24"/>
    </row>
    <row r="14" spans="1:36">
      <c r="A14" s="17" t="s">
        <v>4</v>
      </c>
      <c r="B14" s="17" t="s">
        <v>30</v>
      </c>
      <c r="C14" s="45">
        <f>('[19]4. Assets (RAB)'!D8+'[19]4. Assets (RAB)'!D14)/2-Zonesubstationtransformation!S63</f>
        <v>3425931.1116284956</v>
      </c>
      <c r="D14" s="45">
        <f>('[19]4. Assets (RAB)'!E8+'[19]4. Assets (RAB)'!E14)/2-Zonesubstationtransformation!T63</f>
        <v>3798839.2258752114</v>
      </c>
      <c r="E14" s="45">
        <f>('[19]4. Assets (RAB)'!F8+'[19]4. Assets (RAB)'!F14)/2-Zonesubstationtransformation!U63</f>
        <v>4136684.5998968347</v>
      </c>
      <c r="F14" s="45">
        <f>('[19]4. Assets (RAB)'!G8+'[19]4. Assets (RAB)'!G14)/2-Zonesubstationtransformation!V63</f>
        <v>4519536.0021632258</v>
      </c>
      <c r="G14" s="45">
        <f>('[19]4. Assets (RAB)'!H8+'[19]4. Assets (RAB)'!H14)/2-Zonesubstationtransformation!W63</f>
        <v>5061490.8508209791</v>
      </c>
      <c r="H14" s="45">
        <f>('[19]4. Assets (RAB)'!I8+'[19]4. Assets (RAB)'!I14)/2-Zonesubstationtransformation!X63</f>
        <v>5661812.9208723661</v>
      </c>
      <c r="I14" s="45">
        <f>('[19]4. Assets (RAB)'!J8+'[19]4. Assets (RAB)'!J14)/2-Zonesubstationtransformation!Y63</f>
        <v>6168412.1231904589</v>
      </c>
      <c r="J14" s="45">
        <f>('[19]4. Assets (RAB)'!K8+'[19]4. Assets (RAB)'!K14)/2-Zonesubstationtransformation!Z63</f>
        <v>6692775.008629133</v>
      </c>
      <c r="K14" s="48">
        <f>AVERAGE('[20]3.3 Assets (RAB)'!$E$13,'[20]3.3 Assets (RAB)'!$E$19)-Zonesubstationtransformation!AA63</f>
        <v>7196222.5995677914</v>
      </c>
      <c r="L14" s="48">
        <f>AVERAGE('[21]3.3 Assets (RAB)'!$E$13,'[21]3.3 Assets (RAB)'!$E$19)/1000-Zonesubstationtransformation!AB63</f>
        <v>7915797.2701589819</v>
      </c>
      <c r="M14" s="122">
        <f>AVERAGE('[22]3.3 Assets (RAB)'!$C$13,'[22]3.3 Assets (RAB)'!$C$18)/1000-Zonesubstationtransformation!AC63</f>
        <v>8171192.5272347117</v>
      </c>
      <c r="AA14" s="24"/>
      <c r="AB14" s="24"/>
      <c r="AC14" s="24"/>
      <c r="AD14" s="24"/>
      <c r="AE14" s="24"/>
      <c r="AF14" s="24"/>
      <c r="AG14" s="24"/>
      <c r="AH14" s="24"/>
      <c r="AI14" s="24"/>
      <c r="AJ14" s="24"/>
    </row>
    <row r="15" spans="1:36">
      <c r="A15" s="17" t="s">
        <v>10</v>
      </c>
      <c r="B15" s="17" t="s">
        <v>30</v>
      </c>
      <c r="C15" s="48">
        <f>AVERAGE('[23]4. Assets (RAB)'!D$14,'[23]4. Assets (RAB)'!D$8)-Zonesubstationtransformation!S64</f>
        <v>3840867.263865022</v>
      </c>
      <c r="D15" s="48">
        <f>AVERAGE('[23]4. Assets (RAB)'!E$14,'[23]4. Assets (RAB)'!E$8)-Zonesubstationtransformation!T64</f>
        <v>4170115.5376749607</v>
      </c>
      <c r="E15" s="48">
        <f>AVERAGE('[23]4. Assets (RAB)'!F$14,'[23]4. Assets (RAB)'!F$8)-Zonesubstationtransformation!U64</f>
        <v>4492734.4945220277</v>
      </c>
      <c r="F15" s="48">
        <f>AVERAGE('[23]4. Assets (RAB)'!G$14,'[23]4. Assets (RAB)'!G$8)-Zonesubstationtransformation!V64</f>
        <v>4807740.5603614347</v>
      </c>
      <c r="G15" s="48">
        <f>AVERAGE('[23]4. Assets (RAB)'!H$14,'[23]4. Assets (RAB)'!H$8)-Zonesubstationtransformation!W64</f>
        <v>5207301.5071994439</v>
      </c>
      <c r="H15" s="86">
        <f>AVERAGE('[23]4. Assets (RAB)'!I$14,'[23]4. Assets (RAB)'!I$8)-Zonesubstationtransformation!X64</f>
        <v>5709256.4793679528</v>
      </c>
      <c r="I15" s="86">
        <f>AVERAGE('[23]4. Assets (RAB)'!J$14,'[23]4. Assets (RAB)'!J$8)-Zonesubstationtransformation!Y64</f>
        <v>6163967.3280541962</v>
      </c>
      <c r="J15" s="86">
        <f>AVERAGE('[23]4. Assets (RAB)'!K$14,'[23]4. Assets (RAB)'!K$8)-Zonesubstationtransformation!Z64</f>
        <v>6592670.1548068393</v>
      </c>
      <c r="K15" s="86">
        <f>AVERAGE('[24]3.3 Assets (RAB)'!$E$13,'[24]3.3 Assets (RAB)'!$E$19)-Zonesubstationtransformation!AA64</f>
        <v>7098639.0385977644</v>
      </c>
      <c r="L15" s="86">
        <f>AVERAGE('[25]3.3 Assets (RAB)'!$E$13,'[25]3.3 Assets (RAB)'!$E$19)/1000-Zonesubstationtransformation!AB64</f>
        <v>7499452.265397599</v>
      </c>
      <c r="M15" s="121">
        <f>AVERAGE('[26]3.3 Assets (RAB)'!$C$13,'[26]3.3 Assets (RAB)'!$C$18)/1000-Zonesubstationtransformation!AC64</f>
        <v>7628728.8906545332</v>
      </c>
      <c r="AA15" s="24"/>
      <c r="AB15" s="24"/>
      <c r="AC15" s="24"/>
      <c r="AD15" s="24"/>
      <c r="AE15" s="24"/>
      <c r="AF15" s="24"/>
      <c r="AG15" s="24"/>
      <c r="AH15" s="24"/>
      <c r="AI15" s="24"/>
      <c r="AJ15" s="24"/>
    </row>
    <row r="16" spans="1:36">
      <c r="A16" s="17" t="s">
        <v>5</v>
      </c>
      <c r="B16" s="17" t="s">
        <v>30</v>
      </c>
      <c r="C16" s="48">
        <f>AVERAGE('[27]4. Assets (RAB)'!D$14,'[27]4. Assets (RAB)'!D$8)-Zonesubstationtransformation!S65</f>
        <v>2625295.5713981865</v>
      </c>
      <c r="D16" s="48">
        <f>AVERAGE('[27]4. Assets (RAB)'!E$14,'[27]4. Assets (RAB)'!E$8)-Zonesubstationtransformation!T65</f>
        <v>2950875.7713479106</v>
      </c>
      <c r="E16" s="48">
        <f>AVERAGE('[27]4. Assets (RAB)'!F$14,'[27]4. Assets (RAB)'!F$8)-Zonesubstationtransformation!U65</f>
        <v>3324747.9511148743</v>
      </c>
      <c r="F16" s="48">
        <f>AVERAGE('[27]4. Assets (RAB)'!G$14,'[27]4. Assets (RAB)'!G$8)-Zonesubstationtransformation!V65</f>
        <v>3796856.7128184834</v>
      </c>
      <c r="G16" s="48">
        <f>AVERAGE('[27]4. Assets (RAB)'!H$14,'[27]4. Assets (RAB)'!H$8)-Zonesubstationtransformation!W65</f>
        <v>4328681.0449924944</v>
      </c>
      <c r="H16" s="48">
        <f>AVERAGE('[27]4. Assets (RAB)'!I$14,'[27]4. Assets (RAB)'!I$8)-Zonesubstationtransformation!X65</f>
        <v>4836597.0130968057</v>
      </c>
      <c r="I16" s="48">
        <f>AVERAGE('[27]4. Assets (RAB)'!J$14,'[27]4. Assets (RAB)'!J$8)-Zonesubstationtransformation!Y65</f>
        <v>5446127.7640762692</v>
      </c>
      <c r="J16" s="48">
        <f>AVERAGE('[27]4. Assets (RAB)'!K$14,'[27]4. Assets (RAB)'!K$8)-Zonesubstationtransformation!Z65</f>
        <v>5995814.3527266495</v>
      </c>
      <c r="K16" s="76">
        <f>AVERAGE('[28]3.3 Assets (RAB)'!$E$13,'[28]3.3 Assets (RAB)'!$E$19)-Zonesubstationtransformation!AA65</f>
        <v>6376277.1129166214</v>
      </c>
      <c r="L16" s="48">
        <f>AVERAGE('[29]3.3 Assets (RAB)'!$E$13,'[29]3.3 Assets (RAB)'!$E$19)-Zonesubstationtransformation!AB65</f>
        <v>6727645.0036704214</v>
      </c>
      <c r="M16" s="122">
        <f>AVERAGE('[30]3.3 Assets (RAB)'!$C$13,'[30]3.3 Assets (RAB)'!$C$18)/1000-Zonesubstationtransformation!AC65</f>
        <v>7028180.6634376133</v>
      </c>
      <c r="AA16" s="24"/>
      <c r="AB16" s="24"/>
      <c r="AC16" s="24"/>
      <c r="AD16" s="24"/>
      <c r="AE16" s="24"/>
      <c r="AF16" s="24"/>
      <c r="AG16" s="24"/>
      <c r="AH16" s="24"/>
      <c r="AI16" s="24"/>
      <c r="AJ16" s="24"/>
    </row>
    <row r="17" spans="1:36">
      <c r="A17" s="17" t="s">
        <v>6</v>
      </c>
      <c r="B17" s="17" t="s">
        <v>30</v>
      </c>
      <c r="C17" s="48">
        <f>AVERAGE('[31]4. Assets (RAB)'!D$14,'[31]4. Assets (RAB)'!D$8)</f>
        <v>477880.28427208576</v>
      </c>
      <c r="D17" s="48">
        <f>AVERAGE('[31]4. Assets (RAB)'!E$14,'[31]4. Assets (RAB)'!E$8)</f>
        <v>516813.99324174598</v>
      </c>
      <c r="E17" s="48">
        <f>AVERAGE('[31]4. Assets (RAB)'!F$14,'[31]4. Assets (RAB)'!F$8)</f>
        <v>543733.82543484471</v>
      </c>
      <c r="F17" s="48">
        <f>AVERAGE('[31]4. Assets (RAB)'!G$14,'[31]4. Assets (RAB)'!G$8)</f>
        <v>578814.87038670899</v>
      </c>
      <c r="G17" s="48">
        <f>AVERAGE('[31]4. Assets (RAB)'!H$14,'[31]4. Assets (RAB)'!H$8)</f>
        <v>617489.22328914539</v>
      </c>
      <c r="H17" s="48">
        <f>AVERAGE('[31]4. Assets (RAB)'!I$14,'[31]4. Assets (RAB)'!I$8)</f>
        <v>674496.86145491735</v>
      </c>
      <c r="I17" s="48">
        <f>AVERAGE('[31]4. Assets (RAB)'!J$14,'[31]4. Assets (RAB)'!J$8)</f>
        <v>765574.88161837065</v>
      </c>
      <c r="J17" s="48">
        <f>AVERAGE('[31]4. Assets (RAB)'!K$14,'[31]4. Assets (RAB)'!K$8)</f>
        <v>847172.93947110581</v>
      </c>
      <c r="K17" s="48">
        <f>AVERAGE('[32]3.3 Assets (RAB)'!$E$13,'[32]3.3 Assets (RAB)'!$E$19)</f>
        <v>919291.50922144263</v>
      </c>
      <c r="L17" s="48">
        <f>AVERAGE('[33]3.3 Assets (RAB)'!$E$13,'[33]3.3 Assets (RAB)'!$E$19)/1000</f>
        <v>999519.90644392942</v>
      </c>
      <c r="M17" s="122">
        <f>AVERAGE('[34]3.3 Assets (RAB)'!$C$13,'[34]3.3 Assets (RAB)'!$C$18)/1000</f>
        <v>1059993.6652936561</v>
      </c>
      <c r="AA17" s="24"/>
      <c r="AB17" s="24"/>
      <c r="AC17" s="24"/>
      <c r="AD17" s="24"/>
      <c r="AE17" s="24"/>
      <c r="AF17" s="24"/>
      <c r="AG17" s="24"/>
      <c r="AH17" s="24"/>
      <c r="AI17" s="24"/>
      <c r="AJ17" s="24"/>
    </row>
    <row r="18" spans="1:36">
      <c r="A18" s="17" t="s">
        <v>7</v>
      </c>
      <c r="B18" s="17" t="s">
        <v>30</v>
      </c>
      <c r="C18" s="48">
        <f>AVERAGE('[35]4. Assets (RAB)'!D$14,'[35]4. Assets (RAB)'!D$8)</f>
        <v>1315040.7507852816</v>
      </c>
      <c r="D18" s="48">
        <f>AVERAGE('[35]4. Assets (RAB)'!E$14,'[35]4. Assets (RAB)'!E$8)</f>
        <v>1419291.7680998326</v>
      </c>
      <c r="E18" s="48">
        <f>AVERAGE('[35]4. Assets (RAB)'!F$14,'[35]4. Assets (RAB)'!F$8)</f>
        <v>1516988.5337782816</v>
      </c>
      <c r="F18" s="48">
        <f>AVERAGE('[35]4. Assets (RAB)'!G$14,'[35]4. Assets (RAB)'!G$8)</f>
        <v>1622158.280514427</v>
      </c>
      <c r="G18" s="48">
        <f>AVERAGE('[35]4. Assets (RAB)'!H$14,'[35]4. Assets (RAB)'!H$8)</f>
        <v>1758627.1285324062</v>
      </c>
      <c r="H18" s="48">
        <f>AVERAGE('[35]4. Assets (RAB)'!I$14,'[35]4. Assets (RAB)'!I$8)</f>
        <v>1892790.1277661962</v>
      </c>
      <c r="I18" s="48">
        <f>AVERAGE('[35]4. Assets (RAB)'!J$14,'[35]4. Assets (RAB)'!J$8)</f>
        <v>2073531.1117154597</v>
      </c>
      <c r="J18" s="48">
        <f>AVERAGE('[35]4. Assets (RAB)'!K$14,'[35]4. Assets (RAB)'!K$8)</f>
        <v>2262995.9673126228</v>
      </c>
      <c r="K18" s="48">
        <f>AVERAGE('[36]3.3 Assets (RAB)'!$E$13,'[36]3.3 Assets (RAB)'!$E$19)</f>
        <v>2461727.7203855617</v>
      </c>
      <c r="L18" s="48">
        <f>AVERAGE('[37]3.3 Assets (RAB)'!$E$13,'[37]3.3 Assets (RAB)'!$E$19)/1000</f>
        <v>2633200.4415105362</v>
      </c>
      <c r="M18" s="122">
        <f>AVERAGE('[38]3.3 Assets (RAB)'!$C$13,'[38]3.3 Assets (RAB)'!$C$18)/1000</f>
        <v>2798728.3695</v>
      </c>
      <c r="AA18" s="24"/>
      <c r="AB18" s="24"/>
      <c r="AC18" s="24"/>
      <c r="AD18" s="24"/>
      <c r="AE18" s="24"/>
      <c r="AF18" s="24"/>
      <c r="AG18" s="24"/>
      <c r="AH18" s="24"/>
      <c r="AI18" s="24"/>
      <c r="AJ18" s="24"/>
    </row>
    <row r="19" spans="1:36">
      <c r="A19" s="17" t="s">
        <v>8</v>
      </c>
      <c r="B19" s="17" t="s">
        <v>30</v>
      </c>
      <c r="C19" s="48">
        <f>AVERAGE('[39]4. Assets (RAB)'!D$14,'[39]4. Assets (RAB)'!D$8)-Zonesubstationtransformation!S68</f>
        <v>2517934.483754077</v>
      </c>
      <c r="D19" s="48">
        <f>AVERAGE('[39]4. Assets (RAB)'!E$14,'[39]4. Assets (RAB)'!E$8)-Zonesubstationtransformation!T68</f>
        <v>2567852.9150173357</v>
      </c>
      <c r="E19" s="48">
        <f>AVERAGE('[39]4. Assets (RAB)'!F$14,'[39]4. Assets (RAB)'!F$8)-Zonesubstationtransformation!U68</f>
        <v>2607557.7807561238</v>
      </c>
      <c r="F19" s="48">
        <f>AVERAGE('[39]4. Assets (RAB)'!G$14,'[39]4. Assets (RAB)'!G$8)-Zonesubstationtransformation!V68</f>
        <v>2660375.2141770986</v>
      </c>
      <c r="G19" s="48">
        <f>AVERAGE('[39]4. Assets (RAB)'!H$14,'[39]4. Assets (RAB)'!H$8)-Zonesubstationtransformation!W68</f>
        <v>2692883.4805496312</v>
      </c>
      <c r="H19" s="48">
        <f>AVERAGE('[39]4. Assets (RAB)'!I$14,'[39]4. Assets (RAB)'!I$8)-Zonesubstationtransformation!X68</f>
        <v>2792041.882540544</v>
      </c>
      <c r="I19" s="48">
        <f>AVERAGE('[39]4. Assets (RAB)'!J$14,'[39]4. Assets (RAB)'!J$8)-Zonesubstationtransformation!Y68</f>
        <v>2975066.5990292528</v>
      </c>
      <c r="J19" s="48">
        <f>AVERAGE('[39]4. Assets (RAB)'!K$14,'[39]4. Assets (RAB)'!K$8)-Zonesubstationtransformation!Z68</f>
        <v>3166851.5338637233</v>
      </c>
      <c r="K19" s="48">
        <f>AVERAGE('[40]3.3 Assets (RAB)'!$E$13,'[40]3.3 Assets (RAB)'!$E$19)-Zonesubstationtransformation!AA68</f>
        <v>3349377.6137952823</v>
      </c>
      <c r="L19" s="48">
        <f>AVERAGE('[41]3.3 Assets (RAB)'!$E$13,'[41]3.3 Assets (RAB)'!$E$19)/1000-Zonesubstationtransformation!AB68</f>
        <v>3488292.7398889437</v>
      </c>
      <c r="M19" s="122">
        <f>AVERAGE('[42]3.3 Assets (RAB)'!$C$13,'[42]3.3 Assets (RAB)'!$C$18)/1000-Zonesubstationtransformation!AC68</f>
        <v>3594951.6383635327</v>
      </c>
      <c r="AA19" s="24"/>
      <c r="AB19" s="24"/>
      <c r="AC19" s="24"/>
      <c r="AD19" s="24"/>
      <c r="AE19" s="24"/>
      <c r="AF19" s="24"/>
      <c r="AG19" s="24"/>
      <c r="AH19" s="24"/>
      <c r="AI19" s="24"/>
      <c r="AJ19" s="24"/>
    </row>
    <row r="20" spans="1:36">
      <c r="A20" s="17" t="s">
        <v>73</v>
      </c>
      <c r="B20" s="17" t="s">
        <v>30</v>
      </c>
      <c r="C20" s="48">
        <f>AVERAGE('[43]4. Assets (RAB)'!D$14,'[43]4. Assets (RAB)'!D$8)</f>
        <v>1315153.3212232646</v>
      </c>
      <c r="D20" s="48">
        <f>AVERAGE('[43]4. Assets (RAB)'!E$14,'[43]4. Assets (RAB)'!E$8)</f>
        <v>1423717.5073487968</v>
      </c>
      <c r="E20" s="48">
        <f>AVERAGE('[43]4. Assets (RAB)'!F$14,'[43]4. Assets (RAB)'!F$8)</f>
        <v>1553298.4295019335</v>
      </c>
      <c r="F20" s="48">
        <f>AVERAGE('[43]4. Assets (RAB)'!G$14,'[43]4. Assets (RAB)'!G$8)</f>
        <v>1741756.4830801049</v>
      </c>
      <c r="G20" s="48">
        <f>AVERAGE('[43]4. Assets (RAB)'!H$14,'[43]4. Assets (RAB)'!H$8)</f>
        <v>1968010.4295987366</v>
      </c>
      <c r="H20" s="48">
        <f>AVERAGE('[43]4. Assets (RAB)'!I$14,'[43]4. Assets (RAB)'!I$8)</f>
        <v>2176982.3778416049</v>
      </c>
      <c r="I20" s="48">
        <f>AVERAGE('[43]4. Assets (RAB)'!J$14,'[43]4. Assets (RAB)'!J$8)</f>
        <v>2419511.7851039576</v>
      </c>
      <c r="J20" s="48">
        <f>AVERAGE('[43]4. Assets (RAB)'!K$14,'[43]4. Assets (RAB)'!K$8)</f>
        <v>2710132.9356722394</v>
      </c>
      <c r="K20" s="48">
        <f>AVERAGE('[44]3.3 Assets (RAB)'!$E$13,'[44]3.3 Assets (RAB)'!$E$19)</f>
        <v>3023922.5561301578</v>
      </c>
      <c r="L20" s="48">
        <f>AVERAGE('[45]3.3 Assets (RAB)'!$E$13,'[45]3.3 Assets (RAB)'!$E$19)/1000</f>
        <v>3327324.2335600168</v>
      </c>
      <c r="M20" s="122">
        <f>AVERAGE('[46]3.3 Assets (RAB)'!$C$13,'[46]3.3 Assets (RAB)'!$C$18)/1000</f>
        <v>3519180.6405359125</v>
      </c>
      <c r="AA20" s="24"/>
      <c r="AB20" s="24"/>
      <c r="AC20" s="24"/>
      <c r="AD20" s="24"/>
      <c r="AE20" s="24"/>
      <c r="AF20" s="24"/>
      <c r="AG20" s="24"/>
      <c r="AH20" s="24"/>
      <c r="AI20" s="24"/>
      <c r="AJ20" s="24"/>
    </row>
    <row r="21" spans="1:36">
      <c r="A21" s="17" t="s">
        <v>54</v>
      </c>
      <c r="B21" s="17" t="s">
        <v>30</v>
      </c>
      <c r="C21" s="48">
        <f>AVERAGE('[47]4. Assets (RAB)'!D$15,'[47]4. Assets (RAB)'!D$9)</f>
        <v>782973.896101858</v>
      </c>
      <c r="D21" s="48">
        <f>AVERAGE('[47]4. Assets (RAB)'!E$15,'[47]4. Assets (RAB)'!E$9)</f>
        <v>847772.5420733483</v>
      </c>
      <c r="E21" s="48">
        <f>AVERAGE('[47]4. Assets (RAB)'!F$15,'[47]4. Assets (RAB)'!F$9)</f>
        <v>910014.96845487365</v>
      </c>
      <c r="F21" s="48">
        <f>AVERAGE('[47]4. Assets (RAB)'!G$15,'[47]4. Assets (RAB)'!G$9)</f>
        <v>998157.25301801157</v>
      </c>
      <c r="G21" s="48">
        <f>AVERAGE('[47]4. Assets (RAB)'!H$15,'[47]4. Assets (RAB)'!H$9)</f>
        <v>1101192.1665793543</v>
      </c>
      <c r="H21" s="48">
        <f>AVERAGE('[47]4. Assets (RAB)'!I$15,'[47]4. Assets (RAB)'!I$9)</f>
        <v>1201836.3828660389</v>
      </c>
      <c r="I21" s="48">
        <f>AVERAGE('[47]4. Assets (RAB)'!J$15,'[47]4. Assets (RAB)'!J$9)</f>
        <v>1292859.2109287416</v>
      </c>
      <c r="J21" s="48">
        <f>AVERAGE('[47]4. Assets (RAB)'!K$15,'[47]4. Assets (RAB)'!K$9)</f>
        <v>1352514.8403577958</v>
      </c>
      <c r="K21" s="48">
        <f>AVERAGE('[48]3.3 Assets (RAB)'!$E$13,'[48]3.3 Assets (RAB)'!$E$19)</f>
        <v>1400142.0604441171</v>
      </c>
      <c r="L21" s="48">
        <f>AVERAGE('[49]3.3 Assets (RAB)'!$E$13,'[49]3.3 Assets (RAB)'!$E$19)/1000</f>
        <v>1453670.5525816432</v>
      </c>
      <c r="M21" s="122">
        <f>AVERAGE('[50]3.3 Assets (RAB)'!$C$13,'[50]3.3 Assets (RAB)'!$C$18)/1000</f>
        <v>1496202.5220000001</v>
      </c>
      <c r="AA21" s="24"/>
      <c r="AB21" s="24"/>
      <c r="AC21" s="24"/>
      <c r="AD21" s="24"/>
      <c r="AE21" s="24"/>
      <c r="AF21" s="24"/>
      <c r="AG21" s="24"/>
      <c r="AH21" s="24"/>
      <c r="AI21" s="24"/>
      <c r="AJ21" s="24"/>
    </row>
    <row r="22" spans="1:36">
      <c r="A22" s="17" t="s">
        <v>9</v>
      </c>
      <c r="B22" s="17" t="s">
        <v>30</v>
      </c>
      <c r="C22" s="86">
        <f>AVERAGE('[51]4.Assets'!D$14,'[51]4.Assets'!D$8)</f>
        <v>1074445.4225653573</v>
      </c>
      <c r="D22" s="86">
        <f>AVERAGE('[51]4.Assets'!E$14,'[51]4.Assets'!E$8)</f>
        <v>1116738.1090142787</v>
      </c>
      <c r="E22" s="86">
        <f>AVERAGE('[51]4.Assets'!F$14,'[51]4.Assets'!F$8)</f>
        <v>1145546.027591174</v>
      </c>
      <c r="F22" s="86">
        <f>AVERAGE('[51]4.Assets'!G$14,'[51]4.Assets'!G$8)</f>
        <v>1198356.161106026</v>
      </c>
      <c r="G22" s="86">
        <f>AVERAGE('[51]4.Assets'!H$14,'[51]4.Assets'!H$8)</f>
        <v>1271479.2688505882</v>
      </c>
      <c r="H22" s="86">
        <f>AVERAGE('[51]4.Assets'!I$14,'[51]4.Assets'!I$8)</f>
        <v>1375523.6249198546</v>
      </c>
      <c r="I22" s="86">
        <f>AVERAGE('[51]4.Assets'!J$14,'[51]4.Assets'!J$8)</f>
        <v>1531976.2020666101</v>
      </c>
      <c r="J22" s="86">
        <f>AVERAGE('[51]4.Assets'!K$14,'[51]4.Assets'!K$8)</f>
        <v>1672168.4441997167</v>
      </c>
      <c r="K22" s="86">
        <f>AVERAGE('[52]3.3 Assets (RAB)'!$E$13,'[52]3.3 Assets (RAB)'!$E$19)</f>
        <v>1801366.3495520824</v>
      </c>
      <c r="L22" s="86">
        <f>AVERAGE('[53]3.3 Assets (RAB)'!$E$13,'[53]3.3 Assets (RAB)'!$E$19)</f>
        <v>1932082.001790964</v>
      </c>
      <c r="M22" s="121">
        <f>AVERAGE('[54]3.3 Assets (RAB)'!$C$13,'[54]3.3 Assets (RAB)'!$C$18)/1000</f>
        <v>2058212.5780952845</v>
      </c>
      <c r="AA22" s="24"/>
      <c r="AB22" s="24"/>
      <c r="AC22" s="24"/>
      <c r="AD22" s="24"/>
      <c r="AE22" s="24"/>
      <c r="AF22" s="24"/>
      <c r="AG22" s="24"/>
      <c r="AH22" s="24"/>
      <c r="AI22" s="24"/>
      <c r="AJ22" s="24"/>
    </row>
    <row r="23" spans="1:36">
      <c r="E23" s="3"/>
      <c r="F23" s="3"/>
      <c r="G23" s="3"/>
      <c r="H23" s="3"/>
    </row>
    <row r="24" spans="1:36">
      <c r="A24" s="85" t="str">
        <f>CONCATENATE(B1)</f>
        <v>Real 2016</v>
      </c>
      <c r="C24" s="24"/>
      <c r="D24" s="24"/>
      <c r="E24" s="24"/>
      <c r="F24" s="24"/>
      <c r="G24" s="24"/>
      <c r="H24" s="24"/>
      <c r="I24" s="24"/>
      <c r="J24" s="24"/>
      <c r="K24" s="24"/>
      <c r="L24" s="24"/>
      <c r="M24" s="24"/>
    </row>
    <row r="25" spans="1:36">
      <c r="C25" s="2">
        <v>2006</v>
      </c>
      <c r="D25" s="2">
        <v>2007</v>
      </c>
      <c r="E25" s="2">
        <v>2008</v>
      </c>
      <c r="F25" s="2">
        <v>2009</v>
      </c>
      <c r="G25" s="2">
        <v>2010</v>
      </c>
      <c r="H25" s="2">
        <v>2011</v>
      </c>
      <c r="I25" s="2">
        <v>2012</v>
      </c>
      <c r="J25" s="2">
        <v>2013</v>
      </c>
      <c r="K25" s="2">
        <v>2014</v>
      </c>
      <c r="L25" s="2">
        <v>2015</v>
      </c>
      <c r="M25" s="2">
        <v>2016</v>
      </c>
      <c r="N25" s="83" t="s">
        <v>207</v>
      </c>
    </row>
    <row r="26" spans="1:36">
      <c r="A26" s="17" t="s">
        <v>58</v>
      </c>
      <c r="B26" s="17" t="s">
        <v>30</v>
      </c>
      <c r="C26" s="18">
        <f>C10*C3</f>
        <v>672151.14526423952</v>
      </c>
      <c r="D26" s="18">
        <f t="shared" ref="D26:L26" si="0">D10*D3</f>
        <v>673953.29897483019</v>
      </c>
      <c r="E26" s="18">
        <f t="shared" si="0"/>
        <v>683062.51818826748</v>
      </c>
      <c r="F26" s="18">
        <f t="shared" si="0"/>
        <v>685859.46311589773</v>
      </c>
      <c r="G26" s="18">
        <f t="shared" si="0"/>
        <v>713201.43689471507</v>
      </c>
      <c r="H26" s="18">
        <f t="shared" si="0"/>
        <v>753208.98980516323</v>
      </c>
      <c r="I26" s="18">
        <f t="shared" si="0"/>
        <v>793649.99507483409</v>
      </c>
      <c r="J26" s="18">
        <f t="shared" si="0"/>
        <v>828183.65868435602</v>
      </c>
      <c r="K26" s="18">
        <f t="shared" si="0"/>
        <v>858315.10525079712</v>
      </c>
      <c r="L26" s="18">
        <f t="shared" si="0"/>
        <v>950023.81960600382</v>
      </c>
      <c r="M26" s="18">
        <f t="shared" ref="M26" si="1">M10*M3</f>
        <v>965046.62785977859</v>
      </c>
      <c r="N26" s="24">
        <f>AVERAGE(I26:M26)/1000</f>
        <v>879.04384129515381</v>
      </c>
      <c r="Y26" s="24"/>
      <c r="Z26" s="24"/>
      <c r="AA26" s="24"/>
      <c r="AB26" s="24"/>
      <c r="AC26" s="24"/>
      <c r="AD26" s="24"/>
      <c r="AE26" s="24"/>
      <c r="AF26" s="24"/>
      <c r="AG26" s="24"/>
      <c r="AH26" s="24"/>
    </row>
    <row r="27" spans="1:36">
      <c r="A27" s="17" t="s">
        <v>59</v>
      </c>
      <c r="B27" s="17" t="s">
        <v>30</v>
      </c>
      <c r="C27" s="18">
        <f>C11*C3</f>
        <v>6209654.1297007203</v>
      </c>
      <c r="D27" s="18">
        <f t="shared" ref="D27:L27" si="2">D11*D3</f>
        <v>6721002.0598583147</v>
      </c>
      <c r="E27" s="18">
        <f t="shared" si="2"/>
        <v>7397225.6983803632</v>
      </c>
      <c r="F27" s="18">
        <f t="shared" si="2"/>
        <v>8183459.5848298287</v>
      </c>
      <c r="G27" s="18">
        <f t="shared" si="2"/>
        <v>9266386.1381455436</v>
      </c>
      <c r="H27" s="18">
        <f t="shared" si="2"/>
        <v>10429576.384636955</v>
      </c>
      <c r="I27" s="18">
        <f t="shared" si="2"/>
        <v>11786605.058520582</v>
      </c>
      <c r="J27" s="18">
        <f t="shared" si="2"/>
        <v>12905472.823907694</v>
      </c>
      <c r="K27" s="18">
        <f t="shared" si="2"/>
        <v>13464232.364416495</v>
      </c>
      <c r="L27" s="18">
        <f t="shared" si="2"/>
        <v>13848953.345235791</v>
      </c>
      <c r="M27" s="18">
        <f t="shared" ref="M27" si="3">M11*M3</f>
        <v>13815430.497017093</v>
      </c>
      <c r="N27" s="24">
        <f t="shared" ref="N27:N38" si="4">AVERAGE(I27:M27)/1000</f>
        <v>13164.138817819532</v>
      </c>
      <c r="Y27" s="24"/>
      <c r="Z27" s="24"/>
      <c r="AA27" s="24"/>
      <c r="AB27" s="24"/>
      <c r="AC27" s="24"/>
      <c r="AD27" s="24"/>
      <c r="AE27" s="24"/>
      <c r="AF27" s="24"/>
      <c r="AG27" s="24"/>
      <c r="AH27" s="24"/>
    </row>
    <row r="28" spans="1:36">
      <c r="A28" s="17" t="s">
        <v>60</v>
      </c>
      <c r="B28" s="17" t="s">
        <v>30</v>
      </c>
      <c r="C28" s="18">
        <f>C12*C2</f>
        <v>1014105.0699593368</v>
      </c>
      <c r="D28" s="18">
        <f t="shared" ref="D28:L28" si="5">D12*D2</f>
        <v>1046200.12167468</v>
      </c>
      <c r="E28" s="18">
        <f t="shared" si="5"/>
        <v>1045332.1039726089</v>
      </c>
      <c r="F28" s="18">
        <f t="shared" si="5"/>
        <v>1089234.772310846</v>
      </c>
      <c r="G28" s="18">
        <f t="shared" si="5"/>
        <v>1146578.7405528894</v>
      </c>
      <c r="H28" s="18">
        <f t="shared" si="5"/>
        <v>1192254.4091435135</v>
      </c>
      <c r="I28" s="18">
        <f t="shared" si="5"/>
        <v>1274574.2337269289</v>
      </c>
      <c r="J28" s="18">
        <f t="shared" si="5"/>
        <v>1331659.9148596439</v>
      </c>
      <c r="K28" s="18">
        <f t="shared" si="5"/>
        <v>1382086.7634992118</v>
      </c>
      <c r="L28" s="18">
        <f t="shared" si="5"/>
        <v>1424278.2286438835</v>
      </c>
      <c r="M28" s="18">
        <f t="shared" ref="M28" si="6">M12*M2</f>
        <v>1473397.6558011051</v>
      </c>
      <c r="N28" s="24">
        <f t="shared" si="4"/>
        <v>1377.1993593061545</v>
      </c>
      <c r="Y28" s="24"/>
      <c r="Z28" s="24"/>
      <c r="AA28" s="24"/>
      <c r="AB28" s="24"/>
      <c r="AC28" s="24"/>
      <c r="AD28" s="24"/>
      <c r="AE28" s="24"/>
      <c r="AF28" s="24"/>
      <c r="AG28" s="24"/>
      <c r="AH28" s="24"/>
    </row>
    <row r="29" spans="1:36">
      <c r="A29" s="17" t="s">
        <v>61</v>
      </c>
      <c r="B29" s="17" t="s">
        <v>30</v>
      </c>
      <c r="C29" s="18">
        <f>C13*C3</f>
        <v>2971505.6743761324</v>
      </c>
      <c r="D29" s="18">
        <f t="shared" ref="D29:L29" si="7">D13*D3</f>
        <v>3150433.8356060633</v>
      </c>
      <c r="E29" s="18">
        <f t="shared" si="7"/>
        <v>3331259.5250121695</v>
      </c>
      <c r="F29" s="18">
        <f t="shared" si="7"/>
        <v>3508798.9032804919</v>
      </c>
      <c r="G29" s="18">
        <f t="shared" si="7"/>
        <v>3719479.8507801453</v>
      </c>
      <c r="H29" s="18">
        <f t="shared" si="7"/>
        <v>3885527.5940157711</v>
      </c>
      <c r="I29" s="18">
        <f t="shared" si="7"/>
        <v>4149667.0180644901</v>
      </c>
      <c r="J29" s="18">
        <f t="shared" si="7"/>
        <v>4484143.2712170202</v>
      </c>
      <c r="K29" s="18">
        <f t="shared" si="7"/>
        <v>4794250.8303667586</v>
      </c>
      <c r="L29" s="18">
        <f t="shared" si="7"/>
        <v>5094003.4924473222</v>
      </c>
      <c r="M29" s="18">
        <f t="shared" ref="M29" si="8">M13*M3</f>
        <v>5202915.6752637979</v>
      </c>
      <c r="N29" s="24">
        <f t="shared" si="4"/>
        <v>4744.9960574718771</v>
      </c>
      <c r="Y29" s="24"/>
      <c r="Z29" s="24"/>
      <c r="AA29" s="24"/>
      <c r="AB29" s="24"/>
      <c r="AC29" s="24"/>
      <c r="AD29" s="24"/>
      <c r="AE29" s="24"/>
      <c r="AF29" s="24"/>
      <c r="AG29" s="24"/>
      <c r="AH29" s="24"/>
    </row>
    <row r="30" spans="1:36">
      <c r="A30" s="17" t="s">
        <v>62</v>
      </c>
      <c r="B30" s="17" t="s">
        <v>30</v>
      </c>
      <c r="C30" s="18">
        <f>C14*C3</f>
        <v>4497045.6119228462</v>
      </c>
      <c r="D30" s="18">
        <f t="shared" ref="D30:L30" si="9">D14*D3</f>
        <v>4825315.4139292529</v>
      </c>
      <c r="E30" s="18">
        <f t="shared" si="9"/>
        <v>5107018.0245639943</v>
      </c>
      <c r="F30" s="18">
        <f t="shared" si="9"/>
        <v>5380400.002575269</v>
      </c>
      <c r="G30" s="18">
        <f t="shared" si="9"/>
        <v>5904178.0868537407</v>
      </c>
      <c r="H30" s="18">
        <f t="shared" si="9"/>
        <v>6427238.6098654298</v>
      </c>
      <c r="I30" s="18">
        <f t="shared" si="9"/>
        <v>6798851.0375846736</v>
      </c>
      <c r="J30" s="18">
        <f t="shared" si="9"/>
        <v>7217698.5387176918</v>
      </c>
      <c r="K30" s="18">
        <f t="shared" si="9"/>
        <v>7553287.079699018</v>
      </c>
      <c r="L30" s="18">
        <f t="shared" si="9"/>
        <v>8168271.1042916328</v>
      </c>
      <c r="M30" s="18">
        <f t="shared" ref="M30" si="10">M14*M3</f>
        <v>8291800.5350167742</v>
      </c>
      <c r="N30" s="24">
        <f t="shared" si="4"/>
        <v>7605.9816590619585</v>
      </c>
      <c r="Y30" s="24"/>
      <c r="Z30" s="24"/>
      <c r="AA30" s="24"/>
      <c r="AB30" s="24"/>
      <c r="AC30" s="24"/>
      <c r="AD30" s="24"/>
      <c r="AE30" s="24"/>
      <c r="AF30" s="24"/>
      <c r="AG30" s="24"/>
      <c r="AH30" s="24"/>
    </row>
    <row r="31" spans="1:36">
      <c r="A31" s="17" t="s">
        <v>63</v>
      </c>
      <c r="B31" s="17" t="s">
        <v>30</v>
      </c>
      <c r="C31" s="18">
        <f>C15*C3</f>
        <v>5041711.2055507442</v>
      </c>
      <c r="D31" s="18">
        <f t="shared" ref="D31:L31" si="11">D15*D3</f>
        <v>5296913.5005109208</v>
      </c>
      <c r="E31" s="18">
        <f t="shared" si="11"/>
        <v>5546585.7957062079</v>
      </c>
      <c r="F31" s="18">
        <f t="shared" si="11"/>
        <v>5723500.6670969464</v>
      </c>
      <c r="G31" s="18">
        <f t="shared" si="11"/>
        <v>6074264.7485889597</v>
      </c>
      <c r="H31" s="18">
        <f t="shared" si="11"/>
        <v>6481096.1066096462</v>
      </c>
      <c r="I31" s="18">
        <f t="shared" si="11"/>
        <v>6793951.9647891941</v>
      </c>
      <c r="J31" s="18">
        <f t="shared" si="11"/>
        <v>7109742.3238112973</v>
      </c>
      <c r="K31" s="18">
        <f t="shared" si="11"/>
        <v>7450861.5863144472</v>
      </c>
      <c r="L31" s="18">
        <f t="shared" si="11"/>
        <v>7738646.8029431133</v>
      </c>
      <c r="M31" s="18">
        <f t="shared" ref="M31" si="12">M15*M3</f>
        <v>7741330.0550922388</v>
      </c>
      <c r="N31" s="24">
        <f t="shared" si="4"/>
        <v>7366.9065465900585</v>
      </c>
      <c r="Y31" s="24"/>
      <c r="Z31" s="24"/>
      <c r="AA31" s="24"/>
      <c r="AB31" s="24"/>
      <c r="AC31" s="24"/>
      <c r="AD31" s="24"/>
      <c r="AE31" s="24"/>
      <c r="AF31" s="24"/>
      <c r="AG31" s="24"/>
      <c r="AH31" s="24"/>
    </row>
    <row r="32" spans="1:36">
      <c r="A32" s="17" t="s">
        <v>64</v>
      </c>
      <c r="B32" s="17" t="s">
        <v>30</v>
      </c>
      <c r="C32" s="18">
        <f>C16*C3</f>
        <v>3446092.0388281681</v>
      </c>
      <c r="D32" s="18">
        <f t="shared" ref="D32:L32" si="13">D16*D3</f>
        <v>3748225.5756151294</v>
      </c>
      <c r="E32" s="18">
        <f t="shared" si="13"/>
        <v>4104627.1001418205</v>
      </c>
      <c r="F32" s="18">
        <f t="shared" si="13"/>
        <v>4520067.5152600994</v>
      </c>
      <c r="G32" s="18">
        <f t="shared" si="13"/>
        <v>5049362.8308502063</v>
      </c>
      <c r="H32" s="18">
        <f t="shared" si="13"/>
        <v>5490461.0055794483</v>
      </c>
      <c r="I32" s="18">
        <f t="shared" si="13"/>
        <v>6002746.0325489938</v>
      </c>
      <c r="J32" s="18">
        <f t="shared" si="13"/>
        <v>6466074.3019601116</v>
      </c>
      <c r="K32" s="18">
        <f t="shared" si="13"/>
        <v>6692657.2750079045</v>
      </c>
      <c r="L32" s="18">
        <f t="shared" si="13"/>
        <v>6942222.7992846752</v>
      </c>
      <c r="M32" s="18">
        <f t="shared" ref="M32" si="14">M16*M3</f>
        <v>7131917.6473997924</v>
      </c>
      <c r="N32" s="24">
        <f t="shared" si="4"/>
        <v>6647.1236112402948</v>
      </c>
      <c r="Y32" s="24"/>
      <c r="Z32" s="24"/>
      <c r="AA32" s="24"/>
      <c r="AB32" s="24"/>
      <c r="AC32" s="24"/>
      <c r="AD32" s="24"/>
      <c r="AE32" s="24"/>
      <c r="AF32" s="24"/>
      <c r="AG32" s="24"/>
      <c r="AH32" s="24"/>
    </row>
    <row r="33" spans="1:34">
      <c r="A33" s="17" t="s">
        <v>65</v>
      </c>
      <c r="B33" s="17" t="s">
        <v>30</v>
      </c>
      <c r="C33" s="18">
        <f>C17*C2</f>
        <v>611953.79825296183</v>
      </c>
      <c r="D33" s="18">
        <f t="shared" ref="D33:L33" si="15">D17*D2</f>
        <v>648227.35754380911</v>
      </c>
      <c r="E33" s="18">
        <f t="shared" si="15"/>
        <v>652955.46722525021</v>
      </c>
      <c r="F33" s="18">
        <f t="shared" si="15"/>
        <v>685356.68183571566</v>
      </c>
      <c r="G33" s="18">
        <f t="shared" si="15"/>
        <v>709016.8534635281</v>
      </c>
      <c r="H33" s="18">
        <f t="shared" si="15"/>
        <v>747929.98750041239</v>
      </c>
      <c r="I33" s="18">
        <f t="shared" si="15"/>
        <v>838777.26073725859</v>
      </c>
      <c r="J33" s="18">
        <f t="shared" si="15"/>
        <v>906508.00916168909</v>
      </c>
      <c r="K33" s="18">
        <f t="shared" si="15"/>
        <v>954882.58748214063</v>
      </c>
      <c r="L33" s="18">
        <f t="shared" si="15"/>
        <v>1022764.5554309976</v>
      </c>
      <c r="M33" s="18">
        <f t="shared" ref="M33" si="16">M17*M2</f>
        <v>1073658.4086768157</v>
      </c>
      <c r="N33" s="24">
        <f t="shared" si="4"/>
        <v>959.31816429778041</v>
      </c>
      <c r="Y33" s="24"/>
      <c r="Z33" s="24"/>
      <c r="AA33" s="24"/>
      <c r="AB33" s="24"/>
      <c r="AC33" s="24"/>
      <c r="AD33" s="24"/>
      <c r="AE33" s="24"/>
      <c r="AF33" s="24"/>
      <c r="AG33" s="24"/>
      <c r="AH33" s="24"/>
    </row>
    <row r="34" spans="1:34">
      <c r="A34" s="17" t="s">
        <v>66</v>
      </c>
      <c r="B34" s="17" t="s">
        <v>30</v>
      </c>
      <c r="C34" s="18">
        <f>C18*C2</f>
        <v>1683986.9916924443</v>
      </c>
      <c r="D34" s="18">
        <f t="shared" ref="D34:L34" si="17">D18*D2</f>
        <v>1780183.5175710556</v>
      </c>
      <c r="E34" s="18">
        <f t="shared" si="17"/>
        <v>1821711.1213494649</v>
      </c>
      <c r="F34" s="18">
        <f t="shared" si="17"/>
        <v>1920747.1566909254</v>
      </c>
      <c r="G34" s="18">
        <f t="shared" si="17"/>
        <v>2019300.4607365832</v>
      </c>
      <c r="H34" s="18">
        <f t="shared" si="17"/>
        <v>2098860.0207084836</v>
      </c>
      <c r="I34" s="18">
        <f t="shared" si="17"/>
        <v>2271797.0347480136</v>
      </c>
      <c r="J34" s="18">
        <f t="shared" si="17"/>
        <v>2421493.7393423007</v>
      </c>
      <c r="K34" s="18">
        <f t="shared" si="17"/>
        <v>2557035.4036110654</v>
      </c>
      <c r="L34" s="18">
        <f t="shared" si="17"/>
        <v>2694437.661080549</v>
      </c>
      <c r="M34" s="18">
        <f t="shared" ref="M34" si="18">M18*M2</f>
        <v>2834807.7407458564</v>
      </c>
      <c r="N34" s="24">
        <f t="shared" si="4"/>
        <v>2555.914315905557</v>
      </c>
      <c r="Y34" s="24"/>
      <c r="Z34" s="24"/>
      <c r="AA34" s="24"/>
      <c r="AB34" s="24"/>
      <c r="AC34" s="24"/>
      <c r="AD34" s="24"/>
      <c r="AE34" s="24"/>
      <c r="AF34" s="24"/>
      <c r="AG34" s="24"/>
      <c r="AH34" s="24"/>
    </row>
    <row r="35" spans="1:34">
      <c r="A35" s="17" t="s">
        <v>69</v>
      </c>
      <c r="B35" s="17" t="s">
        <v>30</v>
      </c>
      <c r="C35" s="18">
        <f>C19*C3</f>
        <v>3305164.5968132275</v>
      </c>
      <c r="D35" s="18">
        <f t="shared" ref="D35:L35" si="19">D19*D3</f>
        <v>3261706.9359342605</v>
      </c>
      <c r="E35" s="18">
        <f t="shared" si="19"/>
        <v>3219207.1367359557</v>
      </c>
      <c r="F35" s="18">
        <f t="shared" si="19"/>
        <v>3167113.3502108315</v>
      </c>
      <c r="G35" s="18">
        <f t="shared" si="19"/>
        <v>3141221.4513304289</v>
      </c>
      <c r="H35" s="18">
        <f t="shared" si="19"/>
        <v>3169500.5890553128</v>
      </c>
      <c r="I35" s="18">
        <f t="shared" si="19"/>
        <v>3279131.5219761301</v>
      </c>
      <c r="J35" s="18">
        <f t="shared" si="19"/>
        <v>3415232.046323623</v>
      </c>
      <c r="K35" s="18">
        <f t="shared" si="19"/>
        <v>3515568.1060828348</v>
      </c>
      <c r="L35" s="18">
        <f t="shared" si="19"/>
        <v>3599551.6077653267</v>
      </c>
      <c r="M35" s="18">
        <f t="shared" ref="M35" si="20">M19*M3</f>
        <v>3648013.6551659466</v>
      </c>
      <c r="N35" s="24">
        <f t="shared" si="4"/>
        <v>3491.4993874627726</v>
      </c>
      <c r="Y35" s="24"/>
      <c r="Z35" s="24"/>
      <c r="AA35" s="24"/>
      <c r="AB35" s="24"/>
      <c r="AC35" s="24"/>
      <c r="AD35" s="24"/>
      <c r="AE35" s="24"/>
      <c r="AF35" s="24"/>
      <c r="AG35" s="24"/>
      <c r="AH35" s="24"/>
    </row>
    <row r="36" spans="1:34">
      <c r="A36" s="17" t="s">
        <v>74</v>
      </c>
      <c r="B36" s="17" t="s">
        <v>30</v>
      </c>
      <c r="C36" s="18">
        <f>C20*C2</f>
        <v>1684131.1447562175</v>
      </c>
      <c r="D36" s="18">
        <f t="shared" ref="D36:L36" si="21">D20*D2</f>
        <v>1785734.6158308738</v>
      </c>
      <c r="E36" s="18">
        <f t="shared" si="21"/>
        <v>1865314.7079171692</v>
      </c>
      <c r="F36" s="18">
        <f t="shared" si="21"/>
        <v>2062359.6678020617</v>
      </c>
      <c r="G36" s="18">
        <f t="shared" si="21"/>
        <v>2259719.6999567957</v>
      </c>
      <c r="H36" s="18">
        <f t="shared" si="21"/>
        <v>2413992.5560743604</v>
      </c>
      <c r="I36" s="18">
        <f t="shared" si="21"/>
        <v>2650859.5255123042</v>
      </c>
      <c r="J36" s="18">
        <f t="shared" si="21"/>
        <v>2899947.6938127074</v>
      </c>
      <c r="K36" s="18">
        <f t="shared" si="21"/>
        <v>3140996.0450832611</v>
      </c>
      <c r="L36" s="18">
        <f t="shared" si="21"/>
        <v>3404703.8668986219</v>
      </c>
      <c r="M36" s="18">
        <f t="shared" ref="M36" si="22">M20*M2</f>
        <v>3564547.6101192487</v>
      </c>
      <c r="N36" s="24">
        <f t="shared" si="4"/>
        <v>3132.2109482852284</v>
      </c>
      <c r="Y36" s="24"/>
      <c r="Z36" s="24"/>
      <c r="AA36" s="24"/>
      <c r="AB36" s="24"/>
      <c r="AC36" s="24"/>
      <c r="AD36" s="24"/>
      <c r="AE36" s="24"/>
      <c r="AF36" s="24"/>
      <c r="AG36" s="24"/>
      <c r="AH36" s="24"/>
    </row>
    <row r="37" spans="1:34">
      <c r="A37" s="17" t="s">
        <v>68</v>
      </c>
      <c r="B37" s="17" t="s">
        <v>30</v>
      </c>
      <c r="C37" s="18">
        <f>C21*C3</f>
        <v>1027770.0306826298</v>
      </c>
      <c r="D37" s="18">
        <f t="shared" ref="D37:L37" si="23">D21*D3</f>
        <v>1076847.3398160315</v>
      </c>
      <c r="E37" s="18">
        <f t="shared" si="23"/>
        <v>1123475.2696973751</v>
      </c>
      <c r="F37" s="18">
        <f t="shared" si="23"/>
        <v>1188282.4440690614</v>
      </c>
      <c r="G37" s="18">
        <f t="shared" si="23"/>
        <v>1284529.5686503605</v>
      </c>
      <c r="H37" s="18">
        <f t="shared" si="23"/>
        <v>1364313.7473195486</v>
      </c>
      <c r="I37" s="18">
        <f t="shared" si="23"/>
        <v>1424995.122266148</v>
      </c>
      <c r="J37" s="18">
        <f t="shared" si="23"/>
        <v>1458594.4356799759</v>
      </c>
      <c r="K37" s="18">
        <f t="shared" si="23"/>
        <v>1469614.7580997413</v>
      </c>
      <c r="L37" s="18">
        <f t="shared" si="23"/>
        <v>1500035.2793994443</v>
      </c>
      <c r="M37" s="18">
        <f t="shared" ref="M37" si="24">M21*M3</f>
        <v>1518286.6920664208</v>
      </c>
      <c r="N37" s="24">
        <f t="shared" si="4"/>
        <v>1474.305257502346</v>
      </c>
      <c r="Y37" s="24"/>
      <c r="Z37" s="24"/>
      <c r="AA37" s="24"/>
      <c r="AB37" s="24"/>
      <c r="AC37" s="24"/>
      <c r="AD37" s="24"/>
      <c r="AE37" s="24"/>
      <c r="AF37" s="24"/>
      <c r="AG37" s="24"/>
      <c r="AH37" s="24"/>
    </row>
    <row r="38" spans="1:34">
      <c r="A38" s="17" t="s">
        <v>67</v>
      </c>
      <c r="B38" s="17" t="s">
        <v>30</v>
      </c>
      <c r="C38" s="18">
        <f>C22*C2</f>
        <v>1375890.5294783385</v>
      </c>
      <c r="D38" s="18">
        <f t="shared" ref="D38:L38" si="25">D22*D2</f>
        <v>1400697.742207191</v>
      </c>
      <c r="E38" s="18">
        <f t="shared" si="25"/>
        <v>1375655.709989401</v>
      </c>
      <c r="F38" s="18">
        <f t="shared" si="25"/>
        <v>1418936.2510405043</v>
      </c>
      <c r="G38" s="18">
        <f t="shared" si="25"/>
        <v>1459944.8807261451</v>
      </c>
      <c r="H38" s="18">
        <f t="shared" si="25"/>
        <v>1525278.2131167743</v>
      </c>
      <c r="I38" s="18">
        <f t="shared" si="25"/>
        <v>1678459.9823438954</v>
      </c>
      <c r="J38" s="18">
        <f t="shared" si="25"/>
        <v>1789285.3002137046</v>
      </c>
      <c r="K38" s="18">
        <f t="shared" si="25"/>
        <v>1871107.6340956476</v>
      </c>
      <c r="L38" s="18">
        <f t="shared" si="25"/>
        <v>1977014.1413674981</v>
      </c>
      <c r="M38" s="18">
        <f t="shared" ref="M38" si="26">M22*M2</f>
        <v>2084745.7052530509</v>
      </c>
      <c r="N38" s="24">
        <f t="shared" si="4"/>
        <v>1880.1225526547591</v>
      </c>
      <c r="Y38" s="24"/>
      <c r="Z38" s="24"/>
      <c r="AA38" s="24"/>
      <c r="AB38" s="24"/>
      <c r="AC38" s="24"/>
      <c r="AD38" s="24"/>
      <c r="AE38" s="24"/>
      <c r="AF38" s="24"/>
      <c r="AG38" s="24"/>
      <c r="AH38" s="24"/>
    </row>
    <row r="39" spans="1:34">
      <c r="L39" s="30"/>
      <c r="M39" s="30"/>
    </row>
    <row r="40" spans="1:34">
      <c r="A40" s="27"/>
      <c r="B40" s="27"/>
      <c r="C40" s="27"/>
      <c r="D40" s="27"/>
      <c r="E40" s="27"/>
      <c r="F40" s="27"/>
      <c r="G40" s="27"/>
      <c r="H40" s="27"/>
      <c r="I40" s="27"/>
      <c r="J40" s="27"/>
      <c r="K40" s="27"/>
      <c r="L40" s="103"/>
      <c r="M40" s="103"/>
      <c r="N40" s="27"/>
      <c r="O40" s="27"/>
      <c r="P40" s="27"/>
      <c r="Q40" s="27"/>
      <c r="R40" s="27"/>
    </row>
    <row r="41" spans="1:34">
      <c r="A41" s="41"/>
      <c r="B41" s="27"/>
      <c r="C41" s="27"/>
      <c r="D41" s="27"/>
      <c r="E41" s="27"/>
      <c r="F41" s="27"/>
      <c r="G41" s="27"/>
      <c r="H41" s="27"/>
      <c r="I41" s="27"/>
      <c r="J41" s="27"/>
      <c r="K41" s="27"/>
      <c r="L41" s="27"/>
      <c r="M41" s="27"/>
      <c r="N41" s="27"/>
      <c r="O41" s="27"/>
      <c r="P41" s="27"/>
      <c r="Q41" s="27"/>
      <c r="R41" s="27"/>
    </row>
    <row r="42" spans="1:34">
      <c r="A42" s="27"/>
      <c r="B42" s="27"/>
      <c r="C42" s="27"/>
      <c r="D42" s="27"/>
      <c r="E42" s="27"/>
      <c r="F42" s="27"/>
      <c r="G42" s="27"/>
      <c r="H42" s="27"/>
      <c r="I42" s="27"/>
      <c r="J42" s="27"/>
      <c r="K42" s="27"/>
      <c r="L42" s="27"/>
      <c r="M42" s="27"/>
      <c r="N42" s="27"/>
      <c r="O42" s="27"/>
      <c r="P42" s="27"/>
      <c r="Q42" s="27"/>
      <c r="R42" s="27"/>
    </row>
    <row r="43" spans="1:34">
      <c r="A43" s="95"/>
      <c r="B43" s="27"/>
      <c r="C43" s="94"/>
      <c r="D43" s="94"/>
      <c r="E43" s="94"/>
      <c r="F43" s="94"/>
      <c r="G43" s="94"/>
      <c r="H43" s="94"/>
      <c r="I43" s="94"/>
      <c r="J43" s="94"/>
      <c r="K43" s="94"/>
      <c r="L43" s="94"/>
      <c r="M43" s="94"/>
      <c r="N43" s="27"/>
      <c r="O43" s="27"/>
      <c r="P43" s="27"/>
      <c r="Q43" s="27"/>
      <c r="R43" s="27"/>
    </row>
    <row r="44" spans="1:34">
      <c r="A44" s="95"/>
      <c r="B44" s="27"/>
      <c r="C44" s="94"/>
      <c r="D44" s="94"/>
      <c r="E44" s="94"/>
      <c r="F44" s="94"/>
      <c r="G44" s="94"/>
      <c r="H44" s="94"/>
      <c r="I44" s="94"/>
      <c r="J44" s="94"/>
      <c r="K44" s="94"/>
      <c r="L44" s="94"/>
      <c r="M44" s="94"/>
      <c r="N44" s="27"/>
      <c r="O44" s="27"/>
      <c r="P44" s="27"/>
      <c r="Q44" s="27"/>
      <c r="R44" s="27"/>
    </row>
    <row r="45" spans="1:34">
      <c r="A45" s="95"/>
      <c r="B45" s="27"/>
      <c r="C45" s="94"/>
      <c r="D45" s="94"/>
      <c r="E45" s="94"/>
      <c r="F45" s="94"/>
      <c r="G45" s="94"/>
      <c r="H45" s="94"/>
      <c r="I45" s="94"/>
      <c r="J45" s="94"/>
      <c r="K45" s="94"/>
      <c r="L45" s="94"/>
      <c r="M45" s="94"/>
      <c r="N45" s="27"/>
      <c r="O45" s="27"/>
      <c r="P45" s="27"/>
      <c r="Q45" s="27"/>
      <c r="R45" s="27"/>
    </row>
    <row r="46" spans="1:34">
      <c r="A46" s="95"/>
      <c r="B46" s="27"/>
      <c r="C46" s="94"/>
      <c r="D46" s="94"/>
      <c r="E46" s="94"/>
      <c r="F46" s="94"/>
      <c r="G46" s="94"/>
      <c r="H46" s="94"/>
      <c r="I46" s="94"/>
      <c r="J46" s="94"/>
      <c r="K46" s="94"/>
      <c r="L46" s="94"/>
      <c r="M46" s="94"/>
      <c r="N46" s="27"/>
      <c r="O46" s="27"/>
      <c r="P46" s="27"/>
      <c r="Q46" s="27"/>
      <c r="R46" s="27"/>
    </row>
    <row r="47" spans="1:34">
      <c r="A47" s="95"/>
      <c r="B47" s="27"/>
      <c r="C47" s="94"/>
      <c r="D47" s="94"/>
      <c r="E47" s="94"/>
      <c r="F47" s="94"/>
      <c r="G47" s="94"/>
      <c r="H47" s="94"/>
      <c r="I47" s="94"/>
      <c r="J47" s="94"/>
      <c r="K47" s="94"/>
      <c r="L47" s="94"/>
      <c r="M47" s="94"/>
      <c r="N47" s="27"/>
      <c r="O47" s="27"/>
      <c r="P47" s="27"/>
      <c r="Q47" s="27"/>
      <c r="R47" s="27"/>
    </row>
    <row r="48" spans="1:34">
      <c r="A48" s="95"/>
      <c r="B48" s="27"/>
      <c r="C48" s="94"/>
      <c r="D48" s="94"/>
      <c r="E48" s="94"/>
      <c r="F48" s="94"/>
      <c r="G48" s="94"/>
      <c r="H48" s="94"/>
      <c r="I48" s="94"/>
      <c r="J48" s="94"/>
      <c r="K48" s="94"/>
      <c r="L48" s="94"/>
      <c r="M48" s="94"/>
      <c r="N48" s="27"/>
      <c r="O48" s="27"/>
      <c r="P48" s="27"/>
      <c r="Q48" s="27"/>
      <c r="R48" s="27"/>
    </row>
    <row r="49" spans="1:18">
      <c r="A49" s="95"/>
      <c r="B49" s="27"/>
      <c r="C49" s="94"/>
      <c r="D49" s="94"/>
      <c r="E49" s="94"/>
      <c r="F49" s="94"/>
      <c r="G49" s="94"/>
      <c r="H49" s="94"/>
      <c r="I49" s="94"/>
      <c r="J49" s="94"/>
      <c r="K49" s="104"/>
      <c r="L49" s="94"/>
      <c r="M49" s="94"/>
      <c r="N49" s="27"/>
      <c r="O49" s="27"/>
      <c r="P49" s="27"/>
      <c r="Q49" s="27"/>
      <c r="R49" s="27"/>
    </row>
    <row r="50" spans="1:18">
      <c r="A50" s="95"/>
      <c r="B50" s="27"/>
      <c r="C50" s="94"/>
      <c r="D50" s="94"/>
      <c r="E50" s="94"/>
      <c r="F50" s="94"/>
      <c r="G50" s="94"/>
      <c r="H50" s="94"/>
      <c r="I50" s="94"/>
      <c r="J50" s="94"/>
      <c r="K50" s="94"/>
      <c r="L50" s="94"/>
      <c r="M50" s="94"/>
      <c r="N50" s="27"/>
      <c r="O50" s="27"/>
      <c r="P50" s="27"/>
      <c r="Q50" s="27"/>
      <c r="R50" s="27"/>
    </row>
    <row r="51" spans="1:18">
      <c r="A51" s="95"/>
      <c r="B51" s="27"/>
      <c r="C51" s="94"/>
      <c r="D51" s="94"/>
      <c r="E51" s="94"/>
      <c r="F51" s="94"/>
      <c r="G51" s="94"/>
      <c r="H51" s="94"/>
      <c r="I51" s="94"/>
      <c r="J51" s="94"/>
      <c r="K51" s="94"/>
      <c r="L51" s="94"/>
      <c r="M51" s="94"/>
      <c r="N51" s="27"/>
      <c r="O51" s="27"/>
      <c r="P51" s="27"/>
      <c r="Q51" s="27"/>
      <c r="R51" s="27"/>
    </row>
    <row r="52" spans="1:18">
      <c r="A52" s="95"/>
      <c r="B52" s="27"/>
      <c r="C52" s="94"/>
      <c r="D52" s="94"/>
      <c r="E52" s="94"/>
      <c r="F52" s="94"/>
      <c r="G52" s="94"/>
      <c r="H52" s="94"/>
      <c r="I52" s="94"/>
      <c r="J52" s="94"/>
      <c r="K52" s="94"/>
      <c r="L52" s="94"/>
      <c r="M52" s="94"/>
      <c r="N52" s="27"/>
      <c r="O52" s="27"/>
      <c r="P52" s="27"/>
      <c r="Q52" s="27"/>
      <c r="R52" s="27"/>
    </row>
    <row r="53" spans="1:18">
      <c r="A53" s="95"/>
      <c r="B53" s="27"/>
      <c r="C53" s="94"/>
      <c r="D53" s="94"/>
      <c r="E53" s="94"/>
      <c r="F53" s="94"/>
      <c r="G53" s="94"/>
      <c r="H53" s="94"/>
      <c r="I53" s="94"/>
      <c r="J53" s="94"/>
      <c r="K53" s="94"/>
      <c r="L53" s="94"/>
      <c r="M53" s="94"/>
      <c r="N53" s="27"/>
      <c r="O53" s="27"/>
      <c r="P53" s="27"/>
      <c r="Q53" s="27"/>
      <c r="R53" s="27"/>
    </row>
    <row r="54" spans="1:18">
      <c r="A54" s="95"/>
      <c r="B54" s="27"/>
      <c r="C54" s="94"/>
      <c r="D54" s="94"/>
      <c r="E54" s="94"/>
      <c r="F54" s="94"/>
      <c r="G54" s="94"/>
      <c r="H54" s="94"/>
      <c r="I54" s="94"/>
      <c r="J54" s="94"/>
      <c r="K54" s="94"/>
      <c r="L54" s="94"/>
      <c r="M54" s="94"/>
      <c r="N54" s="27"/>
      <c r="O54" s="27"/>
      <c r="P54" s="27"/>
      <c r="Q54" s="27"/>
      <c r="R54" s="27"/>
    </row>
    <row r="55" spans="1:18">
      <c r="A55" s="95"/>
      <c r="B55" s="27"/>
      <c r="C55" s="94"/>
      <c r="D55" s="94"/>
      <c r="E55" s="94"/>
      <c r="F55" s="94"/>
      <c r="G55" s="94"/>
      <c r="H55" s="94"/>
      <c r="I55" s="94"/>
      <c r="J55" s="94"/>
      <c r="K55" s="94"/>
      <c r="L55" s="94"/>
      <c r="M55" s="94"/>
      <c r="N55" s="27"/>
      <c r="O55" s="27"/>
      <c r="P55" s="27"/>
      <c r="Q55" s="27"/>
      <c r="R55" s="27"/>
    </row>
    <row r="56" spans="1:18">
      <c r="A56" s="27"/>
      <c r="B56" s="27"/>
      <c r="C56" s="27"/>
      <c r="D56" s="27"/>
      <c r="E56" s="27"/>
      <c r="F56" s="27"/>
      <c r="G56" s="27"/>
      <c r="H56" s="27"/>
      <c r="I56" s="27"/>
      <c r="J56" s="27"/>
      <c r="K56" s="27"/>
      <c r="L56" s="27"/>
      <c r="M56" s="27"/>
      <c r="N56" s="27"/>
      <c r="O56" s="27"/>
      <c r="P56" s="27"/>
      <c r="Q56" s="27"/>
      <c r="R56" s="27"/>
    </row>
    <row r="57" spans="1:18">
      <c r="A57" s="27"/>
      <c r="B57" s="27"/>
      <c r="C57" s="27"/>
      <c r="D57" s="27"/>
      <c r="E57" s="27"/>
      <c r="F57" s="27"/>
      <c r="G57" s="27"/>
      <c r="H57" s="27"/>
      <c r="I57" s="27"/>
      <c r="J57" s="27"/>
      <c r="K57" s="27"/>
      <c r="L57" s="27"/>
      <c r="M57" s="27"/>
      <c r="N57" s="27"/>
      <c r="O57" s="27"/>
      <c r="P57" s="27"/>
      <c r="Q57" s="27"/>
      <c r="R57" s="27"/>
    </row>
    <row r="58" spans="1:18">
      <c r="A58" s="27"/>
      <c r="B58" s="27"/>
      <c r="C58" s="27"/>
      <c r="D58" s="27"/>
      <c r="E58" s="27"/>
      <c r="F58" s="27"/>
      <c r="G58" s="27"/>
      <c r="H58" s="27"/>
      <c r="I58" s="27"/>
      <c r="J58" s="27"/>
      <c r="K58" s="27"/>
      <c r="L58" s="27"/>
      <c r="M58" s="27"/>
      <c r="N58" s="27"/>
      <c r="O58" s="27"/>
      <c r="P58" s="27"/>
      <c r="Q58" s="27"/>
      <c r="R58" s="27"/>
    </row>
    <row r="59" spans="1:18">
      <c r="A59" s="27"/>
      <c r="B59" s="27"/>
      <c r="C59" s="27"/>
      <c r="D59" s="27"/>
      <c r="E59" s="27"/>
      <c r="F59" s="27"/>
      <c r="G59" s="27"/>
      <c r="H59" s="27"/>
      <c r="I59" s="27"/>
      <c r="J59" s="27"/>
      <c r="K59" s="27"/>
      <c r="L59" s="27"/>
      <c r="M59" s="27"/>
      <c r="N59" s="27"/>
      <c r="O59" s="27"/>
      <c r="P59" s="27"/>
      <c r="Q59" s="27"/>
      <c r="R59" s="27"/>
    </row>
    <row r="60" spans="1:18">
      <c r="A60" s="27"/>
      <c r="B60" s="27"/>
      <c r="C60" s="27"/>
      <c r="D60" s="27"/>
      <c r="E60" s="27"/>
      <c r="F60" s="27"/>
      <c r="G60" s="27"/>
      <c r="H60" s="27"/>
      <c r="I60" s="27"/>
      <c r="J60" s="27"/>
      <c r="K60" s="27"/>
      <c r="L60" s="27"/>
      <c r="M60" s="27"/>
      <c r="N60" s="27"/>
      <c r="O60" s="27"/>
      <c r="P60" s="27"/>
      <c r="Q60" s="27"/>
      <c r="R60" s="27"/>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44"/>
  <sheetViews>
    <sheetView workbookViewId="0">
      <selection activeCell="O16" sqref="O16"/>
    </sheetView>
  </sheetViews>
  <sheetFormatPr defaultColWidth="9.140625" defaultRowHeight="15"/>
  <cols>
    <col min="1" max="1" width="34.7109375" style="2" customWidth="1"/>
    <col min="2" max="4" width="11" style="2" bestFit="1" customWidth="1"/>
    <col min="5" max="9" width="11.7109375" style="2" bestFit="1" customWidth="1"/>
    <col min="10" max="13" width="12" style="2" customWidth="1"/>
    <col min="14" max="14" width="10.140625" style="2" customWidth="1"/>
    <col min="15" max="16384" width="9.140625" style="2"/>
  </cols>
  <sheetData>
    <row r="1" spans="1:13">
      <c r="A1" s="23" t="s">
        <v>107</v>
      </c>
      <c r="B1" s="85" t="str">
        <f>"Real "&amp;Real_year&amp;""</f>
        <v>Real 2016</v>
      </c>
      <c r="C1" s="2">
        <v>2006</v>
      </c>
      <c r="D1" s="2">
        <v>2007</v>
      </c>
      <c r="E1" s="2">
        <v>2008</v>
      </c>
      <c r="F1" s="2">
        <v>2009</v>
      </c>
      <c r="G1" s="2">
        <v>2010</v>
      </c>
      <c r="H1" s="2">
        <v>2011</v>
      </c>
      <c r="I1" s="2">
        <v>2012</v>
      </c>
      <c r="J1" s="2">
        <v>2013</v>
      </c>
      <c r="K1" s="2">
        <v>2014</v>
      </c>
      <c r="L1" s="2">
        <v>2015</v>
      </c>
      <c r="M1" s="2">
        <v>2016</v>
      </c>
    </row>
    <row r="2" spans="1:13">
      <c r="A2" s="2" t="s">
        <v>29</v>
      </c>
      <c r="C2" s="16">
        <f>CPI!F9</f>
        <v>1.2805587892898718</v>
      </c>
      <c r="D2" s="16">
        <f>CPI!G9</f>
        <v>1.2542759407069555</v>
      </c>
      <c r="E2" s="16">
        <f>CPI!H9</f>
        <v>1.2008733624454149</v>
      </c>
      <c r="F2" s="16">
        <f>CPI!I9</f>
        <v>1.1840688912809472</v>
      </c>
      <c r="G2" s="16">
        <f>CPI!J9</f>
        <v>1.1482254697286012</v>
      </c>
      <c r="H2" s="16">
        <f>CPI!K9</f>
        <v>1.1088709677419355</v>
      </c>
      <c r="I2" s="16">
        <f>CPI!L9</f>
        <v>1.095617529880478</v>
      </c>
      <c r="J2" s="16">
        <f>CPI!M9</f>
        <v>1.0700389105058365</v>
      </c>
      <c r="K2" s="16">
        <f>CPI!N9</f>
        <v>1.0387157695939566</v>
      </c>
      <c r="L2" s="16">
        <f>CPI!O9</f>
        <v>1.0232558139534884</v>
      </c>
      <c r="M2" s="16">
        <f>CPI!P9</f>
        <v>1.0128913443830572</v>
      </c>
    </row>
    <row r="3" spans="1:13">
      <c r="A3" s="2" t="s">
        <v>28</v>
      </c>
      <c r="C3" s="16">
        <f>CPI!F10</f>
        <v>1.3126491646778042</v>
      </c>
      <c r="D3" s="16">
        <f>CPI!G10</f>
        <v>1.2702078521939955</v>
      </c>
      <c r="E3" s="16">
        <f>CPI!H10</f>
        <v>1.2345679012345681</v>
      </c>
      <c r="F3" s="16">
        <f>CPI!I10</f>
        <v>1.1904761904761905</v>
      </c>
      <c r="G3" s="16">
        <f>CPI!J10</f>
        <v>1.166489925768823</v>
      </c>
      <c r="H3" s="16">
        <f>CPI!K10</f>
        <v>1.1351909184726521</v>
      </c>
      <c r="I3" s="16">
        <f>CPI!L10</f>
        <v>1.1022044088176353</v>
      </c>
      <c r="J3" s="16">
        <f>CPI!M10</f>
        <v>1.0784313725490196</v>
      </c>
      <c r="K3" s="16">
        <f>CPI!N10</f>
        <v>1.0496183206106871</v>
      </c>
      <c r="L3" s="16">
        <f>CPI!O10</f>
        <v>1.0318949343339587</v>
      </c>
      <c r="M3" s="16">
        <f>CPI!P10</f>
        <v>1.014760147601476</v>
      </c>
    </row>
    <row r="7" spans="1:13">
      <c r="A7" s="23" t="s">
        <v>51</v>
      </c>
      <c r="C7" s="54"/>
      <c r="D7" s="54"/>
      <c r="E7" s="54"/>
      <c r="F7" s="54"/>
      <c r="G7" s="54"/>
      <c r="H7" s="54"/>
      <c r="I7" s="54"/>
      <c r="J7" s="54"/>
      <c r="K7" s="54"/>
      <c r="L7" s="54"/>
      <c r="M7" s="54"/>
    </row>
    <row r="8" spans="1:13">
      <c r="A8" s="85" t="s">
        <v>99</v>
      </c>
      <c r="C8" s="54"/>
      <c r="D8" s="54"/>
      <c r="E8" s="54"/>
      <c r="F8" s="54"/>
      <c r="G8" s="54"/>
      <c r="H8" s="54"/>
      <c r="I8" s="54"/>
      <c r="J8" s="54"/>
      <c r="K8" s="54"/>
      <c r="L8" s="54"/>
      <c r="M8" s="54"/>
    </row>
    <row r="9" spans="1:13">
      <c r="C9" s="2">
        <v>2006</v>
      </c>
      <c r="D9" s="2">
        <v>2007</v>
      </c>
      <c r="E9" s="2">
        <v>2008</v>
      </c>
      <c r="F9" s="2">
        <v>2009</v>
      </c>
      <c r="G9" s="2">
        <v>2010</v>
      </c>
      <c r="H9" s="2">
        <v>2011</v>
      </c>
      <c r="I9" s="2">
        <v>2012</v>
      </c>
      <c r="J9" s="2">
        <v>2013</v>
      </c>
      <c r="K9" s="2">
        <v>2014</v>
      </c>
      <c r="L9" s="2">
        <v>2015</v>
      </c>
      <c r="M9" s="2">
        <v>2016</v>
      </c>
    </row>
    <row r="10" spans="1:13">
      <c r="A10" s="17" t="s">
        <v>1</v>
      </c>
      <c r="B10" s="17" t="s">
        <v>30</v>
      </c>
      <c r="C10" s="18">
        <f>'[55]3.2 Operating expenditure'!D57/1000</f>
        <v>32644.372461278101</v>
      </c>
      <c r="D10" s="18">
        <f>'[55]3.2 Operating expenditure'!E57/1000</f>
        <v>33989.783685829971</v>
      </c>
      <c r="E10" s="18">
        <f>'[55]3.2 Operating expenditure'!F57/1000</f>
        <v>37658.377116216798</v>
      </c>
      <c r="F10" s="18">
        <f>'[55]3.2 Operating expenditure'!G57/1000</f>
        <v>39959.378599711999</v>
      </c>
      <c r="G10" s="18">
        <f>'[55]3.2 Operating expenditure'!H57/1000</f>
        <v>46087.463131804987</v>
      </c>
      <c r="H10" s="18">
        <f>'[55]3.2 Operating expenditure'!I57/1000</f>
        <v>53239.636389662119</v>
      </c>
      <c r="I10" s="18">
        <f>'[55]3.2 Operating expenditure'!J57/1000</f>
        <v>58764.11594773754</v>
      </c>
      <c r="J10" s="18">
        <f>'[55]3.2 Operating expenditure'!K57/1000</f>
        <v>66417.409985292616</v>
      </c>
      <c r="K10" s="48">
        <f>'[55]3.2 Operating expenditure'!L57/1000</f>
        <v>77223.594865233928</v>
      </c>
      <c r="L10" s="48">
        <f>'[5]3.2 Operating expenditure'!$E$201/1000</f>
        <v>73579.842680742615</v>
      </c>
      <c r="M10" s="48">
        <f>'[6]3.2 Operating expenditure'!$C$68/1000</f>
        <v>40562.17887485183</v>
      </c>
    </row>
    <row r="11" spans="1:13">
      <c r="A11" s="17" t="s">
        <v>78</v>
      </c>
      <c r="B11" s="17" t="s">
        <v>30</v>
      </c>
      <c r="C11" s="45">
        <f>'[7]3. Opex'!D103</f>
        <v>357834.49621930806</v>
      </c>
      <c r="D11" s="45">
        <f>'[7]3. Opex'!E103</f>
        <v>316522.99188389262</v>
      </c>
      <c r="E11" s="45">
        <f>'[7]3. Opex'!F103</f>
        <v>467809.122173907</v>
      </c>
      <c r="F11" s="45">
        <f>'[7]3. Opex'!G103</f>
        <v>441027.33814656845</v>
      </c>
      <c r="G11" s="45">
        <f>'[7]3. Opex'!H103</f>
        <v>511184.26885726338</v>
      </c>
      <c r="H11" s="45">
        <f>'[7]3. Opex'!I103</f>
        <v>506684.85404769256</v>
      </c>
      <c r="I11" s="45">
        <f>'[7]3. Opex'!J103</f>
        <v>577601.09550643899</v>
      </c>
      <c r="J11" s="45">
        <f>'[7]3. Opex'!K103</f>
        <v>471121.68333051458</v>
      </c>
      <c r="K11" s="45">
        <f>'[8]3.2 Opex'!E201</f>
        <v>539569.59182207973</v>
      </c>
      <c r="L11" s="48">
        <f>'[9]3.2 Operating expenditure'!$E$201/1000</f>
        <v>647227.97580349469</v>
      </c>
      <c r="M11" s="48">
        <f>'[10]3.2 Operating expenditure'!$C$68/1000</f>
        <v>588178.8664672653</v>
      </c>
    </row>
    <row r="12" spans="1:13">
      <c r="A12" s="17" t="s">
        <v>2</v>
      </c>
      <c r="B12" s="17" t="s">
        <v>30</v>
      </c>
      <c r="C12" s="45">
        <f>'[11]3. Opex'!D108</f>
        <v>27265.629602043322</v>
      </c>
      <c r="D12" s="45">
        <f>'[11]3. Opex'!E108</f>
        <v>32341.558254429037</v>
      </c>
      <c r="E12" s="45">
        <f>'[11]3. Opex'!F108</f>
        <v>32125.623186465349</v>
      </c>
      <c r="F12" s="45">
        <f>'[11]3. Opex'!G108</f>
        <v>38829.927950286758</v>
      </c>
      <c r="G12" s="45">
        <f>'[11]3. Opex'!H108</f>
        <v>44123.599004515148</v>
      </c>
      <c r="H12" s="45">
        <f>'[11]3. Opex'!I108</f>
        <v>41598.284547956326</v>
      </c>
      <c r="I12" s="45">
        <f>'[11]3. Opex'!J108</f>
        <v>54695.972298482608</v>
      </c>
      <c r="J12" s="45">
        <f>'[11]3. Opex'!K108</f>
        <v>54384.697735130525</v>
      </c>
      <c r="K12" s="81">
        <f>'[12]3.2 Opex'!$E$210+'[12]3.2 Opex'!$E$212</f>
        <v>56811.189743289469</v>
      </c>
      <c r="L12" s="48">
        <f>'[13]3.2 Operating expenditure'!$E$201/1000</f>
        <v>55839.517999999902</v>
      </c>
      <c r="M12" s="53">
        <v>53936.468403184743</v>
      </c>
    </row>
    <row r="13" spans="1:13">
      <c r="A13" s="17" t="s">
        <v>3</v>
      </c>
      <c r="B13" s="17" t="s">
        <v>30</v>
      </c>
      <c r="C13" s="45">
        <f>'[15]3. Opex'!D54</f>
        <v>156824.91789216295</v>
      </c>
      <c r="D13" s="45">
        <f>'[15]3. Opex'!E54</f>
        <v>176841.3944329306</v>
      </c>
      <c r="E13" s="45">
        <f>'[15]3. Opex'!F54</f>
        <v>224408.06001672792</v>
      </c>
      <c r="F13" s="45">
        <f>'[15]3. Opex'!G54</f>
        <v>214131.3002650959</v>
      </c>
      <c r="G13" s="45">
        <f>'[15]3. Opex'!H54</f>
        <v>210431.13798086444</v>
      </c>
      <c r="H13" s="45">
        <f>'[15]3. Opex'!I54</f>
        <v>229554.29065953355</v>
      </c>
      <c r="I13" s="45">
        <f>'[15]3. Opex'!J54</f>
        <v>240838.12724750844</v>
      </c>
      <c r="J13" s="45">
        <f>'[15]3. Opex'!K54</f>
        <v>222645.27398422692</v>
      </c>
      <c r="K13" s="48">
        <f>'[16]3.2 Opex'!$E$210</f>
        <v>258321.99304766822</v>
      </c>
      <c r="L13" s="48">
        <f>'[17]3.2 Operating expenditure'!$E$201/1000</f>
        <v>270954.43519109796</v>
      </c>
      <c r="M13" s="48">
        <f>'[18]3.2 Operating expenditure'!$C$68/1000</f>
        <v>311821.07376744103</v>
      </c>
    </row>
    <row r="14" spans="1:13">
      <c r="A14" s="17" t="s">
        <v>4</v>
      </c>
      <c r="B14" s="17" t="s">
        <v>30</v>
      </c>
      <c r="C14" s="45">
        <f>'[19]3. Opex'!D58-C43</f>
        <v>189286.78651596923</v>
      </c>
      <c r="D14" s="45">
        <f>'[19]3. Opex'!E58-D43</f>
        <v>229999.82498122202</v>
      </c>
      <c r="E14" s="45">
        <f>'[19]3. Opex'!F58-E43</f>
        <v>249220.28103108739</v>
      </c>
      <c r="F14" s="45">
        <f>'[19]3. Opex'!G58-F43</f>
        <v>269392.65437999991</v>
      </c>
      <c r="G14" s="45">
        <f>'[19]3. Opex'!H58-G43</f>
        <v>278759.46134999994</v>
      </c>
      <c r="H14" s="45">
        <f>'[19]3. Opex'!I58-H43</f>
        <v>317627.73702</v>
      </c>
      <c r="I14" s="45">
        <f>'[19]3. Opex'!J58-I43</f>
        <v>350958.66492000007</v>
      </c>
      <c r="J14" s="45">
        <f>'[19]3. Opex'!K58-J43</f>
        <v>387877.9989499998</v>
      </c>
      <c r="K14" s="48">
        <f>'[20]3.2 Opex'!$E$210-K43</f>
        <v>365738.81122000003</v>
      </c>
      <c r="L14" s="48">
        <f>'[21]3.2 Operating expenditure'!$E$201/1000-L43</f>
        <v>381461.10985999979</v>
      </c>
      <c r="M14" s="48">
        <f>'[22]3.2 Operating expenditure'!$C$68/1000</f>
        <v>344893.63842298667</v>
      </c>
    </row>
    <row r="15" spans="1:13">
      <c r="A15" s="17" t="s">
        <v>10</v>
      </c>
      <c r="B15" s="17" t="s">
        <v>30</v>
      </c>
      <c r="C15" s="101">
        <f>'[23]3. Opex'!D$77-C44</f>
        <v>259957.891</v>
      </c>
      <c r="D15" s="101">
        <f>'[23]3. Opex'!E$77-D44</f>
        <v>241890.48055000001</v>
      </c>
      <c r="E15" s="101">
        <f>'[23]3. Opex'!F$77-E44</f>
        <v>269457.2365</v>
      </c>
      <c r="F15" s="101">
        <f>'[23]3. Opex'!G$77-F44</f>
        <v>270466.59798999992</v>
      </c>
      <c r="G15" s="101">
        <f>'[23]3. Opex'!H$77-G44</f>
        <v>270621.21470000001</v>
      </c>
      <c r="H15" s="101">
        <f>'[23]3. Opex'!I$77-H44</f>
        <v>345122.06182</v>
      </c>
      <c r="I15" s="101">
        <f>'[23]3. Opex'!J$77-I44</f>
        <v>363976.48437000008</v>
      </c>
      <c r="J15" s="101">
        <f>'[23]3. Opex'!K$77-J44</f>
        <v>298481.04830000014</v>
      </c>
      <c r="K15" s="101">
        <f>'[24]3.2 Opex'!$E$201-K44</f>
        <v>308046.36037000001</v>
      </c>
      <c r="L15" s="48">
        <f>'[25]3.2 Operating expenditure'!$E$201/1000-L44</f>
        <v>362830.15773000004</v>
      </c>
      <c r="M15" s="48">
        <f>'[26]3.2 Operating expenditure'!$C$68/1000-M44</f>
        <v>390563.55900000001</v>
      </c>
    </row>
    <row r="16" spans="1:13">
      <c r="A16" s="17" t="s">
        <v>5</v>
      </c>
      <c r="B16" s="17" t="s">
        <v>30</v>
      </c>
      <c r="C16" s="45">
        <f>'[27]3. Opex'!D48</f>
        <v>198507.61938633333</v>
      </c>
      <c r="D16" s="45">
        <f>'[27]3. Opex'!E48</f>
        <v>249199.63407413961</v>
      </c>
      <c r="E16" s="45">
        <f>'[27]3. Opex'!F48</f>
        <v>304612.2862615065</v>
      </c>
      <c r="F16" s="45">
        <f>'[27]3. Opex'!G48</f>
        <v>296582.8497940221</v>
      </c>
      <c r="G16" s="45">
        <f>'[27]3. Opex'!H48</f>
        <v>324946.11771999992</v>
      </c>
      <c r="H16" s="45">
        <f>'[27]3. Opex'!I48</f>
        <v>336208.00537622103</v>
      </c>
      <c r="I16" s="45">
        <f>'[27]3. Opex'!J48</f>
        <v>429455.71274000162</v>
      </c>
      <c r="J16" s="45">
        <f>'[27]3. Opex'!K48</f>
        <v>401260.42950844712</v>
      </c>
      <c r="K16" s="48">
        <f>'[28]3.2 Opex'!$E$210</f>
        <v>390948.49645502295</v>
      </c>
      <c r="L16" s="48">
        <f>'[29]3.2 Operating expenditure'!$E$201/1000</f>
        <v>391299.86702397466</v>
      </c>
      <c r="M16" s="48">
        <f>'[30]3.2 Operating expenditure'!$C$68/1000</f>
        <v>313936.839553856</v>
      </c>
    </row>
    <row r="17" spans="1:14">
      <c r="A17" s="17" t="s">
        <v>6</v>
      </c>
      <c r="B17" s="17" t="s">
        <v>30</v>
      </c>
      <c r="C17" s="48">
        <f>'[31]3. Opex'!D$80</f>
        <v>46756.092287101921</v>
      </c>
      <c r="D17" s="48">
        <f>'[31]3. Opex'!E$80</f>
        <v>51252.352222211397</v>
      </c>
      <c r="E17" s="48">
        <f>'[31]3. Opex'!F$80</f>
        <v>43220.358648427165</v>
      </c>
      <c r="F17" s="48">
        <f>'[31]3. Opex'!G$80</f>
        <v>48349.725749866964</v>
      </c>
      <c r="G17" s="48">
        <f>'[31]3. Opex'!H$80</f>
        <v>58605.575110382997</v>
      </c>
      <c r="H17" s="48">
        <f>'[31]3. Opex'!I$80</f>
        <v>59886.898408099434</v>
      </c>
      <c r="I17" s="48">
        <f>'[31]3. Opex'!J$80</f>
        <v>70098.067766092558</v>
      </c>
      <c r="J17" s="48">
        <f>'[31]3. Opex'!K$80</f>
        <v>69150.303926688226</v>
      </c>
      <c r="K17" s="48">
        <f>'[32]3.2 Opex'!$E$210</f>
        <v>69918.55661300612</v>
      </c>
      <c r="L17" s="48">
        <f>'[33]3.2 Operating expenditure'!$E$210/1000</f>
        <v>73079.730390022873</v>
      </c>
      <c r="M17" s="48">
        <f>'[34]3.2 Operating expenditure'!$C$68/1000</f>
        <v>78086.16403602928</v>
      </c>
    </row>
    <row r="18" spans="1:14">
      <c r="A18" s="17" t="s">
        <v>7</v>
      </c>
      <c r="B18" s="17" t="s">
        <v>30</v>
      </c>
      <c r="C18" s="48">
        <f>'[35]3. Opex'!D$109</f>
        <v>119182.77169966792</v>
      </c>
      <c r="D18" s="48">
        <f>'[35]3. Opex'!E$109</f>
        <v>108472.2547782241</v>
      </c>
      <c r="E18" s="48">
        <f>'[35]3. Opex'!F$109</f>
        <v>115769.54368062103</v>
      </c>
      <c r="F18" s="48">
        <f>'[35]3. Opex'!G$109</f>
        <v>130669.61109486467</v>
      </c>
      <c r="G18" s="48">
        <f>'[35]3. Opex'!H$109</f>
        <v>129799.91204555522</v>
      </c>
      <c r="H18" s="48">
        <f>'[35]3. Opex'!I$109</f>
        <v>140102.32111381949</v>
      </c>
      <c r="I18" s="48">
        <f>'[35]3. Opex'!J$109</f>
        <v>171389.09954228744</v>
      </c>
      <c r="J18" s="48">
        <f>'[35]3. Opex'!K$109</f>
        <v>187940.63448701706</v>
      </c>
      <c r="K18" s="81">
        <f>'[36]3.2 Opex'!$E$210+'[36]3.2 Opex'!$E$203</f>
        <v>174958.54833076693</v>
      </c>
      <c r="L18" s="48">
        <f>'[37]3.2 Operating expenditure'!$E$201/1000</f>
        <v>190733.859</v>
      </c>
      <c r="M18" s="48">
        <f>'[38]3.2 Operating expenditure'!$C$68/1000</f>
        <v>196742.152</v>
      </c>
    </row>
    <row r="19" spans="1:14">
      <c r="A19" s="17" t="s">
        <v>8</v>
      </c>
      <c r="B19" s="17" t="s">
        <v>30</v>
      </c>
      <c r="C19" s="113">
        <f>'[39]3. Opex'!D$62</f>
        <v>112506.535</v>
      </c>
      <c r="D19" s="113">
        <f>'[39]3. Opex'!E$62</f>
        <v>108991.583</v>
      </c>
      <c r="E19" s="113">
        <f>'[39]3. Opex'!F$62</f>
        <v>126897.56800000001</v>
      </c>
      <c r="F19" s="113">
        <f>'[39]3. Opex'!G$62</f>
        <v>145514.894</v>
      </c>
      <c r="G19" s="113">
        <f>'[39]3. Opex'!H$62</f>
        <v>147956.514</v>
      </c>
      <c r="H19" s="48">
        <f>'[39]3. Opex'!I$62</f>
        <v>191519.79499999998</v>
      </c>
      <c r="I19" s="48">
        <f>'[39]3. Opex'!J$62</f>
        <v>203371.86000000002</v>
      </c>
      <c r="J19" s="48">
        <f>'[39]3. Opex'!K$62</f>
        <v>222412.64300000001</v>
      </c>
      <c r="K19" s="48">
        <f>'[40]3.2 Opex'!$E$210</f>
        <v>233849.701</v>
      </c>
      <c r="L19" s="48">
        <f>'[41]3.2 Operating expenditure'!$E$201/1000</f>
        <v>248377.48688966606</v>
      </c>
      <c r="M19" s="48">
        <f>'[42]3.2 Operating expenditure'!$C$68/1000</f>
        <v>211867.16309531001</v>
      </c>
    </row>
    <row r="20" spans="1:14">
      <c r="A20" s="17" t="s">
        <v>73</v>
      </c>
      <c r="B20" s="17" t="s">
        <v>30</v>
      </c>
      <c r="C20" s="48">
        <f>'[43]3. Opex '!D$76</f>
        <v>82540.040999999997</v>
      </c>
      <c r="D20" s="48">
        <f>'[43]3. Opex '!E$76</f>
        <v>104522.864</v>
      </c>
      <c r="E20" s="48">
        <f>'[43]3. Opex '!F$76</f>
        <v>117354.963</v>
      </c>
      <c r="F20" s="48">
        <f>'[43]3. Opex '!G$76</f>
        <v>139244.32199999999</v>
      </c>
      <c r="G20" s="48">
        <f>'[43]3. Opex '!H$76</f>
        <v>139237.07999999999</v>
      </c>
      <c r="H20" s="48">
        <f>'[43]3. Opex '!I$76</f>
        <v>145236.239</v>
      </c>
      <c r="I20" s="48">
        <f>'[43]3. Opex '!J$76</f>
        <v>158632.40400000001</v>
      </c>
      <c r="J20" s="48">
        <f>'[43]3. Opex '!K$76</f>
        <v>181028.39600000001</v>
      </c>
      <c r="K20" s="48">
        <f>'[44]3.2 Opex'!$E$210</f>
        <v>191268.03270719171</v>
      </c>
      <c r="L20" s="48">
        <f>'[45]3.2 Operating expenditure'!$E$210/1000</f>
        <v>206141.48558197235</v>
      </c>
      <c r="M20" s="48">
        <f>'[46]3.2 Operating expenditure'!$C$68/1000</f>
        <v>211317.82436007363</v>
      </c>
    </row>
    <row r="21" spans="1:14">
      <c r="A21" s="17" t="s">
        <v>54</v>
      </c>
      <c r="B21" s="17" t="s">
        <v>30</v>
      </c>
      <c r="C21" s="48">
        <f>'[47]3. Opex'!D$191</f>
        <v>48648.823897879513</v>
      </c>
      <c r="D21" s="48">
        <f>'[47]3. Opex'!E$191</f>
        <v>50748.109417397798</v>
      </c>
      <c r="E21" s="48">
        <f>'[47]3. Opex'!F$191</f>
        <v>53289.023029777622</v>
      </c>
      <c r="F21" s="48">
        <f>'[47]3. Opex'!G$191</f>
        <v>61973.7059213752</v>
      </c>
      <c r="G21" s="48">
        <f>'[47]3. Opex'!H$191</f>
        <v>75037.978098049221</v>
      </c>
      <c r="H21" s="48">
        <f>'[47]3. Opex'!I$191</f>
        <v>74900.179665433359</v>
      </c>
      <c r="I21" s="48">
        <f>'[47]3. Opex'!J$191</f>
        <v>84369.77778940904</v>
      </c>
      <c r="J21" s="48">
        <f>'[47]3. Opex'!K$191</f>
        <v>70674.636040854952</v>
      </c>
      <c r="K21" s="48">
        <f>'[48]3.2 Opex'!$E$210</f>
        <v>74075.862810526363</v>
      </c>
      <c r="L21" s="48">
        <f>'[49]3.2 Operating expenditure'!$E$201</f>
        <v>64088.129960287173</v>
      </c>
      <c r="M21" s="48">
        <f>'[50]3.2 Operating expenditure'!$C$68/1000</f>
        <v>69929.810763066795</v>
      </c>
    </row>
    <row r="22" spans="1:14">
      <c r="A22" s="17" t="s">
        <v>9</v>
      </c>
      <c r="B22" s="17" t="s">
        <v>30</v>
      </c>
      <c r="C22" s="48">
        <f>'[51]3. Opex'!D$94</f>
        <v>83237</v>
      </c>
      <c r="D22" s="48">
        <f>'[51]3. Opex'!E$94</f>
        <v>81473</v>
      </c>
      <c r="E22" s="48">
        <f>'[51]3. Opex'!F$94</f>
        <v>85413.886309046997</v>
      </c>
      <c r="F22" s="48">
        <f>'[51]3. Opex'!G$94</f>
        <v>89047.922493129969</v>
      </c>
      <c r="G22" s="48">
        <f>'[51]3. Opex'!H$94</f>
        <v>96130.066559793384</v>
      </c>
      <c r="H22" s="48">
        <f>'[51]3. Opex'!I$94</f>
        <v>121992.7555149088</v>
      </c>
      <c r="I22" s="48">
        <f>'[51]3. Opex'!J$94</f>
        <v>126519.88299902935</v>
      </c>
      <c r="J22" s="48">
        <f>'[51]3. Opex'!K$94</f>
        <v>116175.49106407606</v>
      </c>
      <c r="K22" s="48">
        <f>'[52]3.2 Opex'!$E$210</f>
        <v>121867.70902049847</v>
      </c>
      <c r="L22" s="48">
        <f>'[53]3.2 Operating expenditure'!$E$201</f>
        <v>117721.494565381</v>
      </c>
      <c r="M22" s="48">
        <f>'[54]3.2 Operating expenditure'!$C$68/1000</f>
        <v>138427.94329502553</v>
      </c>
    </row>
    <row r="23" spans="1:14">
      <c r="E23" s="3"/>
      <c r="F23" s="3"/>
      <c r="G23" s="3"/>
      <c r="H23" s="3"/>
    </row>
    <row r="24" spans="1:14">
      <c r="A24" s="85" t="str">
        <f>CONCATENATE(B1)</f>
        <v>Real 2016</v>
      </c>
      <c r="C24" s="112"/>
      <c r="D24" s="112"/>
      <c r="E24" s="112"/>
      <c r="F24" s="112"/>
      <c r="G24" s="112"/>
      <c r="H24" s="112"/>
      <c r="I24" s="112"/>
      <c r="J24" s="112"/>
    </row>
    <row r="25" spans="1:14">
      <c r="C25" s="2">
        <v>2006</v>
      </c>
      <c r="D25" s="2">
        <v>2007</v>
      </c>
      <c r="E25" s="2">
        <v>2008</v>
      </c>
      <c r="F25" s="2">
        <v>2009</v>
      </c>
      <c r="G25" s="2">
        <v>2010</v>
      </c>
      <c r="H25" s="2">
        <v>2011</v>
      </c>
      <c r="I25" s="2">
        <v>2012</v>
      </c>
      <c r="J25" s="2">
        <v>2013</v>
      </c>
      <c r="K25" s="2">
        <v>2014</v>
      </c>
      <c r="L25" s="2">
        <v>2015</v>
      </c>
      <c r="M25" s="2">
        <v>2016</v>
      </c>
      <c r="N25" s="83" t="s">
        <v>208</v>
      </c>
    </row>
    <row r="26" spans="1:14">
      <c r="A26" s="17" t="s">
        <v>58</v>
      </c>
      <c r="B26" s="17" t="s">
        <v>30</v>
      </c>
      <c r="C26" s="18">
        <f t="shared" ref="C26:K26" si="0">C10*C3</f>
        <v>42850.608242727816</v>
      </c>
      <c r="D26" s="18">
        <f t="shared" si="0"/>
        <v>43174.090132116595</v>
      </c>
      <c r="E26" s="18">
        <f t="shared" si="0"/>
        <v>46491.823600267657</v>
      </c>
      <c r="F26" s="18">
        <f t="shared" si="0"/>
        <v>47570.688809180952</v>
      </c>
      <c r="G26" s="18">
        <f t="shared" si="0"/>
        <v>53760.561447492568</v>
      </c>
      <c r="H26" s="18">
        <f t="shared" si="0"/>
        <v>60437.151732330574</v>
      </c>
      <c r="I26" s="18">
        <f t="shared" si="0"/>
        <v>64770.067677867031</v>
      </c>
      <c r="J26" s="18">
        <f t="shared" si="0"/>
        <v>71626.618611590078</v>
      </c>
      <c r="K26" s="18">
        <f t="shared" si="0"/>
        <v>81055.299953966911</v>
      </c>
      <c r="L26" s="18">
        <f t="shared" ref="L26:M26" si="1">L10*L3</f>
        <v>75926.666931347921</v>
      </c>
      <c r="M26" s="18">
        <f t="shared" si="1"/>
        <v>41160.882622082114</v>
      </c>
      <c r="N26" s="24">
        <f>AVERAGE(I26:M26)</f>
        <v>66907.907159370807</v>
      </c>
    </row>
    <row r="27" spans="1:14">
      <c r="A27" s="17" t="s">
        <v>59</v>
      </c>
      <c r="B27" s="17" t="s">
        <v>30</v>
      </c>
      <c r="C27" s="18">
        <f t="shared" ref="C27:K27" si="2">C11*C3</f>
        <v>469711.15255517763</v>
      </c>
      <c r="D27" s="18">
        <f t="shared" si="2"/>
        <v>402049.98969085672</v>
      </c>
      <c r="E27" s="18">
        <f t="shared" si="2"/>
        <v>577542.12614062603</v>
      </c>
      <c r="F27" s="18">
        <f t="shared" si="2"/>
        <v>525032.54541258153</v>
      </c>
      <c r="G27" s="18">
        <f t="shared" si="2"/>
        <v>596291.29983349924</v>
      </c>
      <c r="H27" s="18">
        <f t="shared" si="2"/>
        <v>575184.04484258173</v>
      </c>
      <c r="I27" s="18">
        <f t="shared" si="2"/>
        <v>636634.4740050931</v>
      </c>
      <c r="J27" s="18">
        <f t="shared" si="2"/>
        <v>508072.40359173139</v>
      </c>
      <c r="K27" s="18">
        <f t="shared" si="2"/>
        <v>566342.12882088521</v>
      </c>
      <c r="L27" s="18">
        <f t="shared" ref="L27:M27" si="3">L11*L3</f>
        <v>667871.26959084813</v>
      </c>
      <c r="M27" s="18">
        <f t="shared" si="3"/>
        <v>596860.47335239104</v>
      </c>
      <c r="N27" s="24">
        <f t="shared" ref="N27:N38" si="4">AVERAGE(I27:M27)</f>
        <v>595156.14987218974</v>
      </c>
    </row>
    <row r="28" spans="1:14">
      <c r="A28" s="17" t="s">
        <v>60</v>
      </c>
      <c r="B28" s="17" t="s">
        <v>30</v>
      </c>
      <c r="C28" s="18">
        <f t="shared" ref="C28:K28" si="5">C12*C2</f>
        <v>34915.241632418685</v>
      </c>
      <c r="D28" s="18">
        <f t="shared" si="5"/>
        <v>40565.238403502779</v>
      </c>
      <c r="E28" s="18">
        <f t="shared" si="5"/>
        <v>38578.805136585026</v>
      </c>
      <c r="F28" s="18">
        <f t="shared" si="5"/>
        <v>45977.309736615105</v>
      </c>
      <c r="G28" s="18">
        <f t="shared" si="5"/>
        <v>50663.840193075848</v>
      </c>
      <c r="H28" s="18">
        <f t="shared" si="5"/>
        <v>46127.130043096731</v>
      </c>
      <c r="I28" s="18">
        <f t="shared" si="5"/>
        <v>59925.866064074566</v>
      </c>
      <c r="J28" s="18">
        <f t="shared" si="5"/>
        <v>58193.742712688305</v>
      </c>
      <c r="K28" s="18">
        <f t="shared" si="5"/>
        <v>59010.678675749215</v>
      </c>
      <c r="L28" s="18">
        <f t="shared" ref="L28:M28" si="6">L12*L2</f>
        <v>57138.111441860368</v>
      </c>
      <c r="M28" s="18">
        <f t="shared" si="6"/>
        <v>54631.781992176082</v>
      </c>
      <c r="N28" s="24">
        <f t="shared" si="4"/>
        <v>57780.03617730971</v>
      </c>
    </row>
    <row r="29" spans="1:14">
      <c r="A29" s="17" t="s">
        <v>61</v>
      </c>
      <c r="B29" s="17" t="s">
        <v>30</v>
      </c>
      <c r="C29" s="18">
        <f t="shared" ref="C29:K29" si="7">C13*C3</f>
        <v>205856.09747181294</v>
      </c>
      <c r="D29" s="18">
        <f t="shared" si="7"/>
        <v>224625.32780164396</v>
      </c>
      <c r="E29" s="18">
        <f t="shared" si="7"/>
        <v>277046.9876749728</v>
      </c>
      <c r="F29" s="18">
        <f t="shared" si="7"/>
        <v>254918.21460130464</v>
      </c>
      <c r="G29" s="18">
        <f t="shared" si="7"/>
        <v>245465.80252274752</v>
      </c>
      <c r="H29" s="18">
        <f t="shared" si="7"/>
        <v>260587.94605313404</v>
      </c>
      <c r="I29" s="18">
        <f t="shared" si="7"/>
        <v>265452.84566358646</v>
      </c>
      <c r="J29" s="18">
        <f t="shared" si="7"/>
        <v>240107.64841436237</v>
      </c>
      <c r="K29" s="18">
        <f t="shared" si="7"/>
        <v>271139.49651949911</v>
      </c>
      <c r="L29" s="18">
        <f t="shared" ref="L29:M29" si="8">L13*L3</f>
        <v>279596.5091090129</v>
      </c>
      <c r="M29" s="18">
        <f t="shared" si="8"/>
        <v>316423.59884149919</v>
      </c>
      <c r="N29" s="24">
        <f t="shared" si="4"/>
        <v>274544.01970959204</v>
      </c>
    </row>
    <row r="30" spans="1:14">
      <c r="A30" s="17" t="s">
        <v>62</v>
      </c>
      <c r="B30" s="17" t="s">
        <v>30</v>
      </c>
      <c r="C30" s="18">
        <f t="shared" ref="C30:K30" si="9">C14*C3</f>
        <v>248467.14220473287</v>
      </c>
      <c r="D30" s="18">
        <f t="shared" si="9"/>
        <v>292147.58369439287</v>
      </c>
      <c r="E30" s="18">
        <f t="shared" si="9"/>
        <v>307679.35929763882</v>
      </c>
      <c r="F30" s="18">
        <f t="shared" si="9"/>
        <v>320705.54092857131</v>
      </c>
      <c r="G30" s="18">
        <f t="shared" si="9"/>
        <v>325170.10337751854</v>
      </c>
      <c r="H30" s="18">
        <f t="shared" si="9"/>
        <v>360568.12252012378</v>
      </c>
      <c r="I30" s="18">
        <f t="shared" si="9"/>
        <v>386828.18778757524</v>
      </c>
      <c r="J30" s="18">
        <f t="shared" si="9"/>
        <v>418299.80278921546</v>
      </c>
      <c r="K30" s="18">
        <f t="shared" si="9"/>
        <v>383886.15681488556</v>
      </c>
      <c r="L30" s="18">
        <f t="shared" ref="L30:M30" si="10">L14*L3</f>
        <v>393627.7869099435</v>
      </c>
      <c r="M30" s="18">
        <f t="shared" si="10"/>
        <v>349984.31943292008</v>
      </c>
      <c r="N30" s="24">
        <f t="shared" si="4"/>
        <v>386525.25074690796</v>
      </c>
    </row>
    <row r="31" spans="1:14">
      <c r="A31" s="17" t="s">
        <v>63</v>
      </c>
      <c r="B31" s="17" t="s">
        <v>30</v>
      </c>
      <c r="C31" s="18">
        <f t="shared" ref="C31:K31" si="11">C15*C3</f>
        <v>341233.50847255369</v>
      </c>
      <c r="D31" s="18">
        <f t="shared" si="11"/>
        <v>307251.18776558893</v>
      </c>
      <c r="E31" s="18">
        <f t="shared" si="11"/>
        <v>332663.25493827165</v>
      </c>
      <c r="F31" s="18">
        <f t="shared" si="11"/>
        <v>321984.04522619036</v>
      </c>
      <c r="G31" s="18">
        <f t="shared" si="11"/>
        <v>315676.92064687173</v>
      </c>
      <c r="H31" s="18">
        <f t="shared" si="11"/>
        <v>391779.43034262123</v>
      </c>
      <c r="I31" s="18">
        <f t="shared" si="11"/>
        <v>401176.48577855719</v>
      </c>
      <c r="J31" s="18">
        <f t="shared" si="11"/>
        <v>321891.32659803936</v>
      </c>
      <c r="K31" s="18">
        <f t="shared" si="11"/>
        <v>323331.10344179394</v>
      </c>
      <c r="L31" s="18">
        <f t="shared" ref="L31:M31" si="12">L15*L3</f>
        <v>374402.6017851783</v>
      </c>
      <c r="M31" s="18">
        <f t="shared" si="12"/>
        <v>396328.33477859781</v>
      </c>
      <c r="N31" s="24">
        <f t="shared" si="4"/>
        <v>363425.97047643329</v>
      </c>
    </row>
    <row r="32" spans="1:14">
      <c r="A32" s="17" t="s">
        <v>64</v>
      </c>
      <c r="B32" s="17" t="s">
        <v>30</v>
      </c>
      <c r="C32" s="18">
        <f t="shared" ref="C32:K32" si="13">C16*C3</f>
        <v>260570.86076964994</v>
      </c>
      <c r="D32" s="18">
        <f t="shared" si="13"/>
        <v>316535.33196484251</v>
      </c>
      <c r="E32" s="18">
        <f t="shared" si="13"/>
        <v>376064.55094013154</v>
      </c>
      <c r="F32" s="18">
        <f t="shared" si="13"/>
        <v>353074.82118335966</v>
      </c>
      <c r="G32" s="18">
        <f t="shared" si="13"/>
        <v>379046.37273806997</v>
      </c>
      <c r="H32" s="18">
        <f t="shared" si="13"/>
        <v>381660.27442089072</v>
      </c>
      <c r="I32" s="18">
        <f t="shared" si="13"/>
        <v>473347.97997394967</v>
      </c>
      <c r="J32" s="18">
        <f t="shared" si="13"/>
        <v>432731.83574440371</v>
      </c>
      <c r="K32" s="18">
        <f t="shared" si="13"/>
        <v>410346.70429439435</v>
      </c>
      <c r="L32" s="18">
        <f t="shared" ref="L32:M32" si="14">L16*L3</f>
        <v>403780.35058759112</v>
      </c>
      <c r="M32" s="18">
        <f t="shared" si="14"/>
        <v>318570.59364321182</v>
      </c>
      <c r="N32" s="24">
        <f t="shared" si="4"/>
        <v>407755.4928487101</v>
      </c>
    </row>
    <row r="33" spans="1:14">
      <c r="A33" s="17" t="s">
        <v>65</v>
      </c>
      <c r="B33" s="17" t="s">
        <v>30</v>
      </c>
      <c r="C33" s="18">
        <f t="shared" ref="C33:K33" si="15">C17*C2</f>
        <v>59873.92493109675</v>
      </c>
      <c r="D33" s="18">
        <f t="shared" si="15"/>
        <v>64284.592296958421</v>
      </c>
      <c r="E33" s="18">
        <f t="shared" si="15"/>
        <v>51902.177416233499</v>
      </c>
      <c r="F33" s="18">
        <f t="shared" si="15"/>
        <v>57249.406162382838</v>
      </c>
      <c r="G33" s="18">
        <f t="shared" si="15"/>
        <v>67292.414009834334</v>
      </c>
      <c r="H33" s="18">
        <f t="shared" si="15"/>
        <v>66406.842992852195</v>
      </c>
      <c r="I33" s="18">
        <f t="shared" si="15"/>
        <v>76800.671855280685</v>
      </c>
      <c r="J33" s="18">
        <f t="shared" si="15"/>
        <v>73993.515874860939</v>
      </c>
      <c r="K33" s="18">
        <f t="shared" si="15"/>
        <v>72625.507341177276</v>
      </c>
      <c r="L33" s="18">
        <f t="shared" ref="L33:M33" si="16">L17*L2</f>
        <v>74779.259003744344</v>
      </c>
      <c r="M33" s="18">
        <f t="shared" si="16"/>
        <v>79092.799668169624</v>
      </c>
      <c r="N33" s="24">
        <f t="shared" si="4"/>
        <v>75458.350748646568</v>
      </c>
    </row>
    <row r="34" spans="1:14">
      <c r="A34" s="17" t="s">
        <v>66</v>
      </c>
      <c r="B34" s="17" t="s">
        <v>30</v>
      </c>
      <c r="C34" s="18">
        <f t="shared" ref="C34:K34" si="17">C18*C2</f>
        <v>152620.54583193795</v>
      </c>
      <c r="D34" s="18">
        <f t="shared" si="17"/>
        <v>136054.13940256159</v>
      </c>
      <c r="E34" s="18">
        <f t="shared" si="17"/>
        <v>139024.56118851871</v>
      </c>
      <c r="F34" s="18">
        <f t="shared" si="17"/>
        <v>154721.82153320895</v>
      </c>
      <c r="G34" s="18">
        <f t="shared" si="17"/>
        <v>149039.56497923876</v>
      </c>
      <c r="H34" s="18">
        <f t="shared" si="17"/>
        <v>155355.39639637241</v>
      </c>
      <c r="I34" s="18">
        <f t="shared" si="17"/>
        <v>187776.90188896033</v>
      </c>
      <c r="J34" s="18">
        <f t="shared" si="17"/>
        <v>201103.79176626337</v>
      </c>
      <c r="K34" s="18">
        <f t="shared" si="17"/>
        <v>181732.20317643404</v>
      </c>
      <c r="L34" s="18">
        <f t="shared" ref="L34:M34" si="18">L18*L2</f>
        <v>195169.53013953488</v>
      </c>
      <c r="M34" s="18">
        <f t="shared" si="18"/>
        <v>199278.42283609579</v>
      </c>
      <c r="N34" s="24">
        <f t="shared" si="4"/>
        <v>193012.16996145766</v>
      </c>
    </row>
    <row r="35" spans="1:14">
      <c r="A35" s="17" t="s">
        <v>69</v>
      </c>
      <c r="B35" s="17" t="s">
        <v>30</v>
      </c>
      <c r="C35" s="18">
        <f t="shared" ref="C35:K35" si="19">C19*C3</f>
        <v>147681.60918854416</v>
      </c>
      <c r="D35" s="18">
        <f t="shared" si="19"/>
        <v>138441.96454965358</v>
      </c>
      <c r="E35" s="18">
        <f t="shared" si="19"/>
        <v>156663.66419753089</v>
      </c>
      <c r="F35" s="18">
        <f t="shared" si="19"/>
        <v>173232.01666666666</v>
      </c>
      <c r="G35" s="18">
        <f t="shared" si="19"/>
        <v>172589.78303287382</v>
      </c>
      <c r="H35" s="18">
        <f t="shared" si="19"/>
        <v>217411.53199174401</v>
      </c>
      <c r="I35" s="18">
        <f t="shared" si="19"/>
        <v>224157.36072144291</v>
      </c>
      <c r="J35" s="18">
        <f t="shared" si="19"/>
        <v>239856.77186274511</v>
      </c>
      <c r="K35" s="18">
        <f t="shared" si="19"/>
        <v>245452.9304389313</v>
      </c>
      <c r="L35" s="18">
        <f t="shared" ref="L35:M35" si="20">L19*L3</f>
        <v>256299.47052404567</v>
      </c>
      <c r="M35" s="18">
        <f t="shared" si="20"/>
        <v>214994.35369450279</v>
      </c>
      <c r="N35" s="24">
        <f t="shared" si="4"/>
        <v>236152.17744833356</v>
      </c>
    </row>
    <row r="36" spans="1:14">
      <c r="A36" s="17" t="s">
        <v>74</v>
      </c>
      <c r="B36" s="17" t="s">
        <v>30</v>
      </c>
      <c r="C36" s="18">
        <f t="shared" ref="C36:K36" si="21">C20*C2</f>
        <v>105697.37497089637</v>
      </c>
      <c r="D36" s="18">
        <f t="shared" si="21"/>
        <v>131100.51356898516</v>
      </c>
      <c r="E36" s="18">
        <f t="shared" si="21"/>
        <v>140928.44901746727</v>
      </c>
      <c r="F36" s="18">
        <f t="shared" si="21"/>
        <v>164874.86996770717</v>
      </c>
      <c r="G36" s="18">
        <f t="shared" si="21"/>
        <v>159875.5615866388</v>
      </c>
      <c r="H36" s="18">
        <f t="shared" si="21"/>
        <v>161048.24889112904</v>
      </c>
      <c r="I36" s="18">
        <f t="shared" si="21"/>
        <v>173800.44262948207</v>
      </c>
      <c r="J36" s="18">
        <f t="shared" si="21"/>
        <v>193707.42762645916</v>
      </c>
      <c r="K36" s="18">
        <f t="shared" si="21"/>
        <v>198673.12179217269</v>
      </c>
      <c r="L36" s="18">
        <f t="shared" ref="L36:M36" si="22">L20*L2</f>
        <v>210935.47361876242</v>
      </c>
      <c r="M36" s="18">
        <f t="shared" si="22"/>
        <v>214041.99520817772</v>
      </c>
      <c r="N36" s="24">
        <f t="shared" si="4"/>
        <v>198231.69217501083</v>
      </c>
    </row>
    <row r="37" spans="1:14">
      <c r="A37" s="17" t="s">
        <v>68</v>
      </c>
      <c r="B37" s="17" t="s">
        <v>30</v>
      </c>
      <c r="C37" s="18">
        <f t="shared" ref="C37:K37" si="23">C21*C3</f>
        <v>63858.838052109146</v>
      </c>
      <c r="D37" s="18">
        <f t="shared" si="23"/>
        <v>64460.64706597873</v>
      </c>
      <c r="E37" s="18">
        <f t="shared" si="23"/>
        <v>65788.917320713124</v>
      </c>
      <c r="F37" s="18">
        <f t="shared" si="23"/>
        <v>73778.221334970469</v>
      </c>
      <c r="G37" s="18">
        <f t="shared" si="23"/>
        <v>87531.045501436005</v>
      </c>
      <c r="H37" s="18">
        <f t="shared" si="23"/>
        <v>85026.003748169955</v>
      </c>
      <c r="I37" s="18">
        <f t="shared" si="23"/>
        <v>92992.741050450844</v>
      </c>
      <c r="J37" s="18">
        <f t="shared" si="23"/>
        <v>76217.744749941616</v>
      </c>
      <c r="K37" s="18">
        <f t="shared" si="23"/>
        <v>77751.382720972324</v>
      </c>
      <c r="L37" s="18">
        <f t="shared" ref="L37:M37" si="24">L21*L3</f>
        <v>66132.216656956749</v>
      </c>
      <c r="M37" s="18">
        <f t="shared" si="24"/>
        <v>70961.985091672948</v>
      </c>
      <c r="N37" s="24">
        <f t="shared" si="4"/>
        <v>76811.21405399889</v>
      </c>
    </row>
    <row r="38" spans="1:14">
      <c r="A38" s="17" t="s">
        <v>67</v>
      </c>
      <c r="B38" s="17" t="s">
        <v>30</v>
      </c>
      <c r="C38" s="18">
        <f t="shared" ref="C38:K38" si="25">C22*C2</f>
        <v>106589.87194412106</v>
      </c>
      <c r="D38" s="18">
        <f t="shared" si="25"/>
        <v>102189.62371721778</v>
      </c>
      <c r="E38" s="18">
        <f t="shared" si="25"/>
        <v>102571.26085147566</v>
      </c>
      <c r="F38" s="18">
        <f t="shared" si="25"/>
        <v>105438.87485731211</v>
      </c>
      <c r="G38" s="18">
        <f t="shared" si="25"/>
        <v>110378.99083066045</v>
      </c>
      <c r="H38" s="18">
        <f t="shared" si="25"/>
        <v>135274.22486532226</v>
      </c>
      <c r="I38" s="18">
        <f t="shared" si="25"/>
        <v>138617.40169216361</v>
      </c>
      <c r="J38" s="18">
        <f t="shared" si="25"/>
        <v>124312.29588568451</v>
      </c>
      <c r="K38" s="18">
        <f t="shared" si="25"/>
        <v>126585.91116387944</v>
      </c>
      <c r="L38" s="18">
        <f t="shared" ref="L38:M38" si="26">L22*L2</f>
        <v>120459.2037413201</v>
      </c>
      <c r="M38" s="18">
        <f t="shared" si="26"/>
        <v>140212.46558428</v>
      </c>
      <c r="N38" s="24">
        <f t="shared" si="4"/>
        <v>130037.45561346554</v>
      </c>
    </row>
    <row r="40" spans="1:14">
      <c r="A40" s="41" t="s">
        <v>70</v>
      </c>
      <c r="C40" s="24"/>
      <c r="D40" s="24"/>
      <c r="E40" s="24"/>
      <c r="F40" s="24"/>
      <c r="G40" s="24"/>
      <c r="H40" s="24"/>
      <c r="I40" s="24"/>
      <c r="J40" s="24"/>
    </row>
    <row r="41" spans="1:14">
      <c r="A41" s="41" t="s">
        <v>99</v>
      </c>
      <c r="C41" s="24"/>
      <c r="D41" s="24"/>
      <c r="E41" s="24"/>
      <c r="F41" s="24"/>
      <c r="G41" s="24"/>
      <c r="H41" s="24"/>
      <c r="I41" s="24"/>
      <c r="J41" s="24"/>
    </row>
    <row r="42" spans="1:14">
      <c r="A42" s="27"/>
      <c r="C42" s="2">
        <v>2006</v>
      </c>
      <c r="D42" s="2">
        <v>2007</v>
      </c>
      <c r="E42" s="2">
        <v>2008</v>
      </c>
      <c r="F42" s="2">
        <v>2009</v>
      </c>
      <c r="G42" s="2">
        <v>2010</v>
      </c>
      <c r="H42" s="2">
        <v>2011</v>
      </c>
      <c r="I42" s="2">
        <v>2012</v>
      </c>
      <c r="J42" s="2">
        <v>2013</v>
      </c>
      <c r="K42" s="2">
        <v>2014</v>
      </c>
      <c r="L42" s="2">
        <v>2015</v>
      </c>
      <c r="M42" s="2">
        <v>2016</v>
      </c>
    </row>
    <row r="43" spans="1:14">
      <c r="A43" s="32" t="s">
        <v>4</v>
      </c>
      <c r="B43" s="17" t="s">
        <v>30</v>
      </c>
      <c r="C43" s="40">
        <v>0</v>
      </c>
      <c r="D43" s="40">
        <v>0</v>
      </c>
      <c r="E43" s="40">
        <v>0</v>
      </c>
      <c r="F43" s="40">
        <v>0</v>
      </c>
      <c r="G43" s="40">
        <v>0</v>
      </c>
      <c r="H43" s="40">
        <v>19400</v>
      </c>
      <c r="I43" s="40">
        <v>73900</v>
      </c>
      <c r="J43" s="40">
        <v>167100</v>
      </c>
      <c r="K43" s="40">
        <v>227750.74645000001</v>
      </c>
      <c r="L43" s="40">
        <v>203766.43627000001</v>
      </c>
      <c r="M43" s="40"/>
    </row>
    <row r="44" spans="1:14">
      <c r="A44" s="32" t="s">
        <v>71</v>
      </c>
      <c r="B44" s="17" t="s">
        <v>30</v>
      </c>
      <c r="C44" s="40">
        <v>0</v>
      </c>
      <c r="D44" s="40">
        <v>0</v>
      </c>
      <c r="E44" s="40">
        <v>0</v>
      </c>
      <c r="F44" s="40">
        <v>0</v>
      </c>
      <c r="G44" s="40">
        <v>0</v>
      </c>
      <c r="H44" s="40">
        <v>5688.4189999999999</v>
      </c>
      <c r="I44" s="40">
        <v>27937.562999999998</v>
      </c>
      <c r="J44" s="40">
        <v>75867</v>
      </c>
      <c r="K44" s="40">
        <v>120083</v>
      </c>
      <c r="L44" s="40">
        <v>115340</v>
      </c>
      <c r="M44" s="40">
        <f>'[26]3.2 Operating expenditure'!$C$26/1000</f>
        <v>109044.84299999999</v>
      </c>
    </row>
  </sheetData>
  <sortState ref="A55:J67">
    <sortCondition descending="1" ref="J55:J6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Readme</vt:lpstr>
      <vt:lpstr>LogofChanges</vt:lpstr>
      <vt:lpstr>Financial charts</vt:lpstr>
      <vt:lpstr>Non-Financial charts</vt:lpstr>
      <vt:lpstr>Analysis</vt:lpstr>
      <vt:lpstr>Total cost</vt:lpstr>
      <vt:lpstr>Asset cost</vt:lpstr>
      <vt:lpstr>RAB</vt:lpstr>
      <vt:lpstr>Opex</vt:lpstr>
      <vt:lpstr>Depreciation</vt:lpstr>
      <vt:lpstr>Capex</vt:lpstr>
      <vt:lpstr>Zonesubstationtransformation</vt:lpstr>
      <vt:lpstr>CPI</vt:lpstr>
      <vt:lpstr>Reliability</vt:lpstr>
      <vt:lpstr>Physical data</vt:lpstr>
      <vt:lpstr>State Charts and data</vt:lpstr>
      <vt:lpstr>Readme!_GoBack</vt:lpstr>
      <vt:lpstr>RAB!Capex_base</vt:lpstr>
      <vt:lpstr>RAB!Capex_Base_Index</vt:lpstr>
      <vt:lpstr>currency_base</vt:lpstr>
      <vt:lpstr>Real_year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2014-11-17T22:53:05Z</dcterms:created>
  <dcterms:modified xsi:type="dcterms:W3CDTF">2017-11-01T06:44:16Z</dcterms:modified>
</cp:coreProperties>
</file>