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38640" windowHeight="21240" tabRatio="691" activeTab="5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externalReferences>
    <externalReference r:id="rId8"/>
  </externalReferences>
  <definedNames>
    <definedName name="Nominal_to_Real">'[1]Input|Rate of change'!$C$23:$C$26</definedName>
    <definedName name="percent" localSheetId="6">'[1]Lookup|Tables'!$G$14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3" l="1"/>
  <c r="L22" i="13"/>
  <c r="A16" i="14"/>
  <c r="A17" i="14"/>
  <c r="L8" i="13"/>
  <c r="G22" i="13"/>
  <c r="D9" i="4"/>
  <c r="K22" i="13"/>
  <c r="H9" i="4"/>
  <c r="G19" i="4"/>
  <c r="J22" i="13"/>
  <c r="G9" i="4"/>
  <c r="I22" i="13"/>
  <c r="F9" i="4"/>
  <c r="H22" i="13"/>
  <c r="E9" i="4"/>
  <c r="E8" i="4"/>
  <c r="F8" i="4"/>
  <c r="G8" i="4"/>
  <c r="H8" i="4"/>
  <c r="D8" i="4"/>
  <c r="A5" i="14"/>
  <c r="A6" i="14"/>
  <c r="A7" i="14"/>
  <c r="A8" i="14"/>
  <c r="A9" i="14"/>
  <c r="A10" i="14"/>
  <c r="D18" i="2"/>
  <c r="E18" i="2"/>
  <c r="G7" i="13"/>
  <c r="G15" i="13"/>
  <c r="F7" i="13"/>
  <c r="F30" i="3"/>
  <c r="H7" i="13"/>
  <c r="I7" i="13"/>
  <c r="I19" i="13"/>
  <c r="J7" i="13"/>
  <c r="J19" i="13"/>
  <c r="K7" i="13"/>
  <c r="D18" i="4"/>
  <c r="E7" i="4"/>
  <c r="F7" i="4"/>
  <c r="G7" i="4"/>
  <c r="H7" i="4"/>
  <c r="D7" i="4"/>
  <c r="I6" i="3"/>
  <c r="I12" i="3"/>
  <c r="J6" i="3"/>
  <c r="J12" i="3"/>
  <c r="K6" i="3"/>
  <c r="K12" i="3"/>
  <c r="L6" i="3"/>
  <c r="L12" i="3"/>
  <c r="H6" i="3"/>
  <c r="H12" i="3"/>
  <c r="D10" i="4"/>
  <c r="H19" i="13"/>
  <c r="K19" i="13"/>
  <c r="H16" i="3"/>
  <c r="H23" i="3"/>
  <c r="I16" i="3"/>
  <c r="I23" i="3"/>
  <c r="B1" i="2"/>
  <c r="B1" i="10"/>
  <c r="D24" i="4"/>
  <c r="M7" i="13"/>
  <c r="M19" i="13"/>
  <c r="J16" i="3"/>
  <c r="J23" i="3"/>
  <c r="K16" i="3"/>
  <c r="K23" i="3"/>
  <c r="G11" i="4"/>
  <c r="H15" i="13"/>
  <c r="I15" i="13"/>
  <c r="F18" i="2"/>
  <c r="E24" i="4"/>
  <c r="E41" i="4"/>
  <c r="K6" i="10"/>
  <c r="N7" i="13"/>
  <c r="I27" i="3"/>
  <c r="H10" i="13"/>
  <c r="I10" i="13"/>
  <c r="J10" i="13"/>
  <c r="K10" i="13"/>
  <c r="L10" i="13"/>
  <c r="L16" i="3"/>
  <c r="L23" i="3"/>
  <c r="H11" i="4"/>
  <c r="H27" i="3"/>
  <c r="D41" i="4"/>
  <c r="J6" i="10"/>
  <c r="F8" i="10"/>
  <c r="G19" i="13"/>
  <c r="F8" i="3"/>
  <c r="G10" i="13"/>
  <c r="F12" i="3"/>
  <c r="F9" i="3"/>
  <c r="F11" i="4"/>
  <c r="C10" i="13"/>
  <c r="F10" i="3"/>
  <c r="C15" i="13"/>
  <c r="E11" i="4"/>
  <c r="D11" i="4"/>
  <c r="D12" i="4"/>
  <c r="F19" i="4"/>
  <c r="E19" i="4"/>
  <c r="D19" i="4"/>
  <c r="D21" i="4"/>
  <c r="E10" i="4"/>
  <c r="N19" i="13"/>
  <c r="C43" i="4"/>
  <c r="C45" i="4"/>
  <c r="E12" i="4"/>
  <c r="G14" i="4"/>
  <c r="D20" i="4"/>
  <c r="F24" i="4"/>
  <c r="F41" i="4"/>
  <c r="L6" i="10"/>
  <c r="G18" i="2"/>
  <c r="O7" i="13"/>
  <c r="J27" i="3"/>
  <c r="G13" i="4"/>
  <c r="H13" i="4"/>
  <c r="E13" i="4"/>
  <c r="E18" i="4"/>
  <c r="E21" i="4"/>
  <c r="F13" i="4"/>
  <c r="E20" i="4"/>
  <c r="H14" i="4"/>
  <c r="F10" i="4"/>
  <c r="F12" i="4"/>
  <c r="J15" i="13"/>
  <c r="F14" i="4"/>
  <c r="O19" i="13"/>
  <c r="G24" i="4"/>
  <c r="G41" i="4"/>
  <c r="M6" i="10"/>
  <c r="K27" i="3"/>
  <c r="H18" i="2"/>
  <c r="P7" i="13"/>
  <c r="F18" i="4"/>
  <c r="F21" i="4"/>
  <c r="K15" i="13"/>
  <c r="G10" i="4"/>
  <c r="G12" i="4"/>
  <c r="G15" i="4"/>
  <c r="G18" i="4"/>
  <c r="G21" i="4"/>
  <c r="F20" i="4"/>
  <c r="H15" i="4"/>
  <c r="P19" i="13"/>
  <c r="Q7" i="13"/>
  <c r="L27" i="3"/>
  <c r="H41" i="4"/>
  <c r="N6" i="10"/>
  <c r="H24" i="4"/>
  <c r="H16" i="4"/>
  <c r="H18" i="4"/>
  <c r="H21" i="4"/>
  <c r="D35" i="4"/>
  <c r="G20" i="4"/>
  <c r="H10" i="4"/>
  <c r="H12" i="4"/>
  <c r="H20" i="4"/>
  <c r="L15" i="13"/>
  <c r="Q19" i="13"/>
  <c r="H30" i="3"/>
  <c r="N9" i="13"/>
  <c r="O9" i="13"/>
  <c r="P9" i="13"/>
  <c r="Q9" i="13"/>
  <c r="M10" i="13"/>
  <c r="I30" i="3"/>
  <c r="N10" i="13"/>
  <c r="J30" i="3"/>
  <c r="O10" i="13"/>
  <c r="K30" i="3"/>
  <c r="P10" i="13"/>
  <c r="L30" i="3"/>
  <c r="Q10" i="13"/>
  <c r="D42" i="4"/>
  <c r="E42" i="4"/>
  <c r="F42" i="4"/>
  <c r="G42" i="4" s="1"/>
  <c r="H42" i="4" s="1"/>
  <c r="B1" i="3"/>
  <c r="B1" i="4"/>
  <c r="B1" i="5"/>
  <c r="B1" i="13"/>
  <c r="N22" i="13" l="1"/>
  <c r="E25" i="4" s="1"/>
  <c r="O14" i="13"/>
  <c r="M22" i="13"/>
  <c r="D25" i="4" s="1"/>
  <c r="D27" i="4" s="1"/>
  <c r="H31" i="3"/>
  <c r="D26" i="4" s="1"/>
  <c r="D28" i="4" s="1"/>
  <c r="M15" i="13"/>
  <c r="O22" i="13" l="1"/>
  <c r="F25" i="4" s="1"/>
  <c r="F27" i="4" s="1"/>
  <c r="P14" i="13"/>
  <c r="I31" i="3"/>
  <c r="E26" i="4" s="1"/>
  <c r="N15" i="13"/>
  <c r="E27" i="4"/>
  <c r="E28" i="4" l="1"/>
  <c r="J31" i="3"/>
  <c r="F26" i="4" s="1"/>
  <c r="F28" i="4" s="1"/>
  <c r="O15" i="13"/>
  <c r="P22" i="13"/>
  <c r="G25" i="4" s="1"/>
  <c r="G27" i="4" s="1"/>
  <c r="Q14" i="13"/>
  <c r="Q22" i="13" s="1"/>
  <c r="H25" i="4" s="1"/>
  <c r="H27" i="4" l="1"/>
  <c r="K31" i="3"/>
  <c r="G26" i="4" s="1"/>
  <c r="G28" i="4" s="1"/>
  <c r="P15" i="13"/>
  <c r="Q15" i="13" l="1"/>
  <c r="L31" i="3"/>
  <c r="H26" i="4" s="1"/>
  <c r="H28" i="4" s="1"/>
  <c r="D31" i="4" s="1"/>
  <c r="D34" i="4" l="1"/>
  <c r="D36" i="4" s="1"/>
  <c r="D37" i="4" s="1"/>
  <c r="D43" i="4" s="1"/>
  <c r="D33" i="4"/>
  <c r="J8" i="10" l="1"/>
  <c r="E43" i="4"/>
  <c r="K8" i="10" l="1"/>
  <c r="F43" i="4"/>
  <c r="L8" i="10" l="1"/>
  <c r="G43" i="4"/>
  <c r="M8" i="10" l="1"/>
  <c r="H43" i="4"/>
  <c r="N8" i="10" s="1"/>
  <c r="D45" i="4"/>
  <c r="O8" i="10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<sst xmlns="http://schemas.openxmlformats.org/spreadsheetml/2006/main" count="266" uniqueCount="140">
  <si>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</si>
  <si>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</si>
  <si>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</si>
  <si>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</si>
  <si>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</si>
  <si>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</si>
  <si>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</si>
  <si>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</si>
  <si>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</si>
  <si>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</si>
  <si>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</si>
  <si>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</si>
  <si>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</si>
  <si>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</si>
  <si>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</si>
  <si>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</si>
  <si>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</si>
  <si>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</si>
  <si>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</si>
  <si>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</si>
  <si>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</si>
  <si>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</si>
  <si>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</si>
  <si>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</si>
  <si>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</si>
  <si>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</si>
  <si>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</si>
  <si>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</si>
  <si>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</si>
  <si>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</si>
  <si>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</si>
  <si>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</si>
  <si>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</si>
  <si>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</si>
  <si>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</si>
  <si>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</si>
  <si>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</si>
  <si>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</si>
  <si>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</si>
  <si>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</si>
  <si>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</si>
  <si>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</si>
  <si>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</si>
  <si>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</si>
  <si>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</si>
  <si>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</si>
  <si>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</si>
  <si>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</si>
  <si>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</si>
  <si>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</si>
  <si>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</si>
  <si>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</si>
  <si>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</si>
  <si>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</si>
  <si>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</si>
  <si>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</si>
  <si>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</si>
  <si>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</si>
  <si>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</si>
  <si>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</si>
  <si>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</si>
  <si>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</si>
  <si>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</si>
  <si>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</si>
  <si>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</si>
  <si>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</si>
  <si>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</si>
  <si>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</si>
  <si>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</si>
  <si>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</si>
  <si>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</si>
  <si>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</si>
  <si>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</si>
  <si>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</si>
  <si>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</si>
  <si>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</si>
  <si>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</si>
  <si>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</si>
  <si>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</si>
  <si>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</si>
  <si>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</si>
  <si>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</si>
  <si>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</si>
  <si>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</si>
  <si>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</si>
  <si>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</si>
  <si>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</si>
  <si>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</si>
  <si>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</si>
  <si>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</si>
  <si>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</si>
  <si>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</si>
  <si>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</si>
  <si>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</si>
  <si>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</si>
  <si>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</si>
  <si>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2021-2021</t>
  </si>
  <si>
    <t>NPV of increase in forecast capex from deferred capex (31 December 2020)</t>
  </si>
  <si>
    <t>NPV underspend (31 December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</si>
  <si>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</si>
  <si>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</si>
  <si>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</si>
  <si>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</si>
  <si>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</si>
  <si>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</si>
  <si>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</si>
  <si>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</si>
  <si>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</si>
  <si>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</si>
  <si>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H30: L30 
H31: L31</t>
  </si>
  <si>
    <t>C20, C21, C28, C36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</si>
  <si>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</si>
  <si>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</si>
  <si>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</si>
  <si>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</si>
  <si>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</si>
  <si>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</si>
  <si>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</si>
  <si>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</si>
  <si>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JEN</t>
  </si>
  <si>
    <t>DNSP</t>
  </si>
  <si>
    <t>2021-26</t>
  </si>
  <si>
    <t>Added the half-year regulatory year (1 Jan 2021 - 30 June 2021) and the actual CPI and WACC associated with it</t>
  </si>
  <si>
    <t>Discount factor (end of year 5)</t>
  </si>
  <si>
    <t>Labels amended to specify the timing of the NPV adjustment (not a formula adjustment)</t>
  </si>
  <si>
    <t>NPV financing benefit (31 December 2020)</t>
  </si>
  <si>
    <t>JEN IP</t>
  </si>
  <si>
    <t>Detailed log of changes made to CESS template for JEN's revised proposal</t>
  </si>
  <si>
    <t>M21:Q21</t>
  </si>
  <si>
    <t>JEN RP Change</t>
  </si>
  <si>
    <t>L20</t>
  </si>
  <si>
    <t>Updated actual real vanilla WACC to align with RFM</t>
  </si>
  <si>
    <t>Updated forecast real vanilla WACC to align with PTRM</t>
  </si>
  <si>
    <t>L8</t>
  </si>
  <si>
    <t>Updated actual CPI to align with RFM</t>
  </si>
  <si>
    <t>Detailed log of changes made to CESS template for JEN's response to AER IR065</t>
  </si>
  <si>
    <t>JEN IR065</t>
  </si>
  <si>
    <t>Updated latest estimates of 2020 capex, capital contributions and disposals</t>
  </si>
  <si>
    <t>L18:L20</t>
  </si>
  <si>
    <t>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</si>
</sst>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ADF1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6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7" fontId="23" fillId="5" borderId="0" applyFont="0" applyBorder="0">
      <alignment horizontal="right"/>
      <protection locked="0"/>
    </xf>
    <xf numFmtId="177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6" fontId="23" fillId="0" borderId="20" applyBorder="0" applyProtection="0">
      <alignment horizontal="right"/>
    </xf>
    <xf numFmtId="186" fontId="23" fillId="0" borderId="20" applyBorder="0" applyProtection="0">
      <alignment horizontal="right"/>
    </xf>
    <xf numFmtId="186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1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4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7" fontId="20" fillId="0" borderId="24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9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190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0" fontId="24" fillId="3" borderId="26" xfId="268" applyNumberFormat="1" applyFont="1" applyFill="1" applyBorder="1" applyAlignment="1">
      <alignment horizontal="center" vertical="center"/>
    </xf>
    <xf numFmtId="190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169" fontId="21" fillId="3" borderId="2" xfId="0" applyNumberFormat="1" applyFont="1" applyFill="1" applyBorder="1" applyAlignment="1" applyProtection="1">
      <alignment horizontal="center" vertical="center"/>
    </xf>
    <xf numFmtId="0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1" fillId="0" borderId="25" xfId="0" applyNumberFormat="1" applyFont="1" applyFill="1" applyBorder="1" applyAlignment="1" applyProtection="1">
      <alignment horizontal="center" vertical="center"/>
    </xf>
    <xf numFmtId="2" fontId="20" fillId="3" borderId="2" xfId="1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3" fillId="58" borderId="47" xfId="0" applyFont="1" applyFill="1" applyBorder="1" applyAlignment="1">
      <alignment wrapText="1"/>
    </xf>
    <xf numFmtId="0" fontId="24" fillId="58" borderId="24" xfId="1" applyFont="1" applyFill="1" applyBorder="1" applyAlignment="1">
      <alignment horizontal="center" vertical="center"/>
    </xf>
    <xf numFmtId="0" fontId="100" fillId="58" borderId="0" xfId="0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9" fontId="19" fillId="58" borderId="0" xfId="0" applyNumberFormat="1" applyFont="1" applyFill="1" applyBorder="1" applyAlignment="1" applyProtection="1">
      <alignment horizontal="center" vertical="center"/>
    </xf>
    <xf numFmtId="0" fontId="15" fillId="58" borderId="33" xfId="0" applyFont="1" applyFill="1" applyBorder="1" applyAlignment="1">
      <alignment horizontal="left" indent="1"/>
    </xf>
    <xf numFmtId="0" fontId="15" fillId="58" borderId="4" xfId="0" applyFont="1" applyFill="1" applyBorder="1" applyAlignment="1">
      <alignment horizontal="left" indent="1"/>
    </xf>
    <xf numFmtId="0" fontId="24" fillId="58" borderId="6" xfId="0" applyFont="1" applyFill="1" applyBorder="1" applyAlignment="1">
      <alignment horizontal="left" vertical="center"/>
    </xf>
    <xf numFmtId="10" fontId="23" fillId="0" borderId="0" xfId="0" applyNumberFormat="1" applyFont="1" applyFill="1" applyBorder="1"/>
    <xf numFmtId="10" fontId="3" fillId="3" borderId="0" xfId="0" applyNumberFormat="1" applyFont="1" applyFill="1" applyAlignment="1">
      <alignment horizontal="center" vertical="center"/>
    </xf>
    <xf numFmtId="0" fontId="100" fillId="59" borderId="0" xfId="0" applyFont="1" applyFill="1" applyAlignment="1">
      <alignment horizontal="center" vertical="center"/>
    </xf>
    <xf numFmtId="0" fontId="23" fillId="59" borderId="47" xfId="0" applyFont="1" applyFill="1" applyBorder="1" applyAlignment="1">
      <alignment wrapText="1"/>
    </xf>
    <xf numFmtId="10" fontId="24" fillId="59" borderId="26" xfId="0" applyNumberFormat="1" applyFont="1" applyFill="1" applyBorder="1" applyAlignment="1">
      <alignment horizontal="center" vertical="center"/>
    </xf>
    <xf numFmtId="0" fontId="23" fillId="59" borderId="50" xfId="0" applyFont="1" applyFill="1" applyBorder="1" applyAlignment="1">
      <alignment wrapText="1"/>
    </xf>
    <xf numFmtId="2" fontId="8" fillId="4" borderId="2" xfId="0" applyNumberFormat="1" applyFont="1" applyFill="1" applyBorder="1" applyAlignment="1">
      <alignment horizontal="center" vertical="center"/>
    </xf>
    <xf numFmtId="2" fontId="24" fillId="60" borderId="24" xfId="1" applyNumberFormat="1" applyFont="1" applyFill="1" applyBorder="1" applyAlignment="1">
      <alignment horizontal="center" vertical="center"/>
    </xf>
    <xf numFmtId="0" fontId="100" fillId="60" borderId="0" xfId="0" applyFont="1" applyFill="1" applyAlignment="1">
      <alignment horizontal="center" vertical="center"/>
    </xf>
    <xf numFmtId="0" fontId="23" fillId="60" borderId="47" xfId="0" applyFont="1" applyFill="1" applyBorder="1" applyAlignment="1">
      <alignment wrapText="1"/>
    </xf>
    <xf numFmtId="0" fontId="0" fillId="0" borderId="51" xfId="0" applyBorder="1"/>
    <xf numFmtId="0" fontId="24" fillId="61" borderId="24" xfId="1" applyFont="1" applyFill="1" applyBorder="1" applyAlignment="1">
      <alignment horizontal="center" vertical="center"/>
    </xf>
    <xf numFmtId="10" fontId="24" fillId="61" borderId="26" xfId="0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9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1CDFF"/>
      <color rgb="FFCCCCFF"/>
      <color rgb="FFCC99FF"/>
      <color rgb="FFFFFF99"/>
      <color rgb="FFDAEEF3"/>
      <color rgb="FFFF00FF"/>
      <color rgb="FF0000FF"/>
      <color rgb="FF006100"/>
      <color rgb="FFC6EFC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Capex%20team%202020%20-%20Electricity%20resets/Victoria/CESS%20models/Draft%20decision/For%20upload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zoomScaleNormal="100" workbookViewId="0"/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JEN 2021-26 Final Decision - Capital expenditure sharing scheme model</v>
      </c>
      <c r="D1" s="4"/>
      <c r="E1" s="4"/>
    </row>
    <row r="2" spans="2:13" ht="18" customHeight="1">
      <c r="B2" s="33" t="s">
        <v>25</v>
      </c>
    </row>
    <row r="3" spans="2:13" ht="3" customHeight="1">
      <c r="C3" s="2"/>
    </row>
    <row r="4" spans="2:13" s="8" customFormat="1" ht="12.75" customHeight="1">
      <c r="C4" s="29" t="s">
        <v>26</v>
      </c>
      <c r="D4" s="7"/>
      <c r="E4" s="7"/>
    </row>
    <row r="5" spans="2:13" ht="11.25" customHeight="1"/>
    <row r="6" spans="2:13" ht="11.25" customHeight="1">
      <c r="C6" s="31" t="s">
        <v>27</v>
      </c>
      <c r="D6" s="31" t="s">
        <v>28</v>
      </c>
      <c r="E6" s="31"/>
    </row>
    <row r="7" spans="2:13" ht="11.25" customHeight="1">
      <c r="C7" s="107" t="s">
        <v>30</v>
      </c>
      <c r="D7" s="32" t="s">
        <v>41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74</v>
      </c>
      <c r="D8" s="32" t="s">
        <v>73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50</v>
      </c>
      <c r="D9" s="32" t="s">
        <v>33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53</v>
      </c>
      <c r="D10" s="32" t="s">
        <v>34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75</v>
      </c>
      <c r="D11" s="32" t="s">
        <v>49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29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CDFF"/>
  </sheetPr>
  <dimension ref="A1:E24"/>
  <sheetViews>
    <sheetView zoomScaleNormal="100" workbookViewId="0">
      <selection activeCell="A19" sqref="A19:D19"/>
    </sheetView>
  </sheetViews>
  <sheetFormatPr defaultRowHeight="14.4"/>
  <cols>
    <col min="2" max="2" width="37.88671875" customWidth="1"/>
    <col min="3" max="3" width="23.5546875" customWidth="1"/>
    <col min="4" max="4" width="70.5546875" bestFit="1" customWidth="1"/>
    <col min="5" max="5" width="75.44140625" customWidth="1"/>
  </cols>
  <sheetData>
    <row r="1" spans="1:5" ht="17.399999999999999">
      <c r="A1" s="213" t="s">
        <v>105</v>
      </c>
      <c r="B1" s="204"/>
      <c r="C1" s="204"/>
      <c r="D1" s="204"/>
      <c r="E1" s="204"/>
    </row>
    <row r="2" spans="1:5" ht="15" thickBot="1">
      <c r="A2" s="204"/>
      <c r="B2" s="204"/>
      <c r="C2" s="204"/>
      <c r="D2" s="204"/>
      <c r="E2" s="204"/>
    </row>
    <row r="3" spans="1:5">
      <c r="A3" s="205" t="s">
        <v>101</v>
      </c>
      <c r="B3" s="206" t="s">
        <v>102</v>
      </c>
      <c r="C3" s="206" t="s">
        <v>103</v>
      </c>
      <c r="D3" s="207" t="s">
        <v>104</v>
      </c>
      <c r="E3" s="214"/>
    </row>
    <row r="4" spans="1:5" ht="41.1" customHeight="1">
      <c r="A4" s="203">
        <v>1</v>
      </c>
      <c r="B4" s="204" t="s">
        <v>30</v>
      </c>
      <c r="C4" s="204" t="s">
        <v>106</v>
      </c>
      <c r="D4" s="209" t="s">
        <v>107</v>
      </c>
      <c r="E4" s="214"/>
    </row>
    <row r="5" spans="1:5" ht="41.1" customHeight="1">
      <c r="A5" s="203">
        <f>A4+1</f>
        <v>2</v>
      </c>
      <c r="B5" s="204" t="s">
        <v>74</v>
      </c>
      <c r="C5" s="204" t="s">
        <v>108</v>
      </c>
      <c r="D5" s="222" t="s">
        <v>122</v>
      </c>
      <c r="E5" s="214"/>
    </row>
    <row r="6" spans="1:5" ht="41.1" customHeight="1">
      <c r="A6" s="203">
        <f>A5+1</f>
        <v>3</v>
      </c>
      <c r="B6" s="204" t="s">
        <v>50</v>
      </c>
      <c r="C6" s="208" t="s">
        <v>109</v>
      </c>
      <c r="D6" s="209" t="s">
        <v>112</v>
      </c>
      <c r="E6" s="214"/>
    </row>
    <row r="7" spans="1:5" ht="41.1" customHeight="1">
      <c r="A7" s="203">
        <f t="shared" ref="A7:A9" si="0">A6+1</f>
        <v>4</v>
      </c>
      <c r="B7" s="204" t="s">
        <v>53</v>
      </c>
      <c r="C7" s="204" t="s">
        <v>110</v>
      </c>
      <c r="D7" s="222" t="s">
        <v>124</v>
      </c>
      <c r="E7" s="214"/>
    </row>
    <row r="8" spans="1:5" ht="41.1" customHeight="1">
      <c r="A8" s="203">
        <f t="shared" si="0"/>
        <v>5</v>
      </c>
      <c r="B8" s="204" t="s">
        <v>53</v>
      </c>
      <c r="C8" s="204" t="s">
        <v>111</v>
      </c>
      <c r="D8" s="209" t="s">
        <v>112</v>
      </c>
      <c r="E8" s="214"/>
    </row>
    <row r="9" spans="1:5" ht="41.1" customHeight="1">
      <c r="A9" s="203">
        <f t="shared" si="0"/>
        <v>6</v>
      </c>
      <c r="B9" s="204" t="s">
        <v>53</v>
      </c>
      <c r="C9" s="204" t="s">
        <v>113</v>
      </c>
      <c r="D9" s="209" t="s">
        <v>118</v>
      </c>
      <c r="E9" s="214"/>
    </row>
    <row r="10" spans="1:5" ht="41.4" customHeight="1" thickBot="1">
      <c r="A10" s="210">
        <f t="shared" ref="A10" si="1">A9+1</f>
        <v>7</v>
      </c>
      <c r="B10" s="211" t="s">
        <v>53</v>
      </c>
      <c r="C10" s="211" t="s">
        <v>116</v>
      </c>
      <c r="D10" s="216" t="s">
        <v>117</v>
      </c>
      <c r="E10" s="204"/>
    </row>
    <row r="11" spans="1:5" ht="20.100000000000001" customHeight="1">
      <c r="A11" s="204"/>
      <c r="B11" s="204"/>
      <c r="C11" s="204"/>
      <c r="D11" s="204"/>
      <c r="E11" s="204"/>
    </row>
    <row r="12" spans="1:5" ht="20.100000000000001" customHeight="1">
      <c r="A12" s="213" t="s">
        <v>127</v>
      </c>
      <c r="B12" s="204"/>
      <c r="C12" s="204"/>
      <c r="D12" s="204"/>
      <c r="E12" s="204"/>
    </row>
    <row r="13" spans="1:5" ht="20.100000000000001" customHeight="1" thickBot="1">
      <c r="A13" s="204"/>
      <c r="B13" s="204"/>
      <c r="C13" s="204"/>
      <c r="D13" s="204"/>
      <c r="E13" s="214"/>
    </row>
    <row r="14" spans="1:5" ht="20.100000000000001" customHeight="1">
      <c r="A14" s="205" t="s">
        <v>101</v>
      </c>
      <c r="B14" s="206" t="s">
        <v>102</v>
      </c>
      <c r="C14" s="206" t="s">
        <v>103</v>
      </c>
      <c r="D14" s="207" t="s">
        <v>104</v>
      </c>
      <c r="E14" s="214"/>
    </row>
    <row r="15" spans="1:5" ht="20.100000000000001" customHeight="1">
      <c r="A15" s="203">
        <v>1</v>
      </c>
      <c r="B15" s="204" t="s">
        <v>74</v>
      </c>
      <c r="C15" s="230" t="s">
        <v>133</v>
      </c>
      <c r="D15" s="233" t="s">
        <v>134</v>
      </c>
      <c r="E15" s="214"/>
    </row>
    <row r="16" spans="1:5" ht="20.100000000000001" customHeight="1">
      <c r="A16" s="203">
        <f>A15+1</f>
        <v>2</v>
      </c>
      <c r="B16" s="204" t="s">
        <v>74</v>
      </c>
      <c r="C16" s="230" t="s">
        <v>130</v>
      </c>
      <c r="D16" s="233" t="s">
        <v>131</v>
      </c>
      <c r="E16" s="214"/>
    </row>
    <row r="17" spans="1:5" ht="20.100000000000001" customHeight="1" thickBot="1">
      <c r="A17" s="210">
        <f>A16+1</f>
        <v>3</v>
      </c>
      <c r="B17" s="211" t="s">
        <v>74</v>
      </c>
      <c r="C17" s="211" t="s">
        <v>128</v>
      </c>
      <c r="D17" s="235" t="s">
        <v>132</v>
      </c>
      <c r="E17" s="214"/>
    </row>
    <row r="18" spans="1:5" ht="20.100000000000001" customHeight="1"/>
    <row r="19" spans="1:5" ht="17.399999999999999">
      <c r="A19" s="213" t="s">
        <v>135</v>
      </c>
      <c r="B19" s="204"/>
      <c r="C19" s="204"/>
      <c r="D19" s="204"/>
    </row>
    <row r="20" spans="1:5" ht="15" thickBot="1">
      <c r="A20" s="204"/>
      <c r="B20" s="204"/>
      <c r="C20" s="204"/>
      <c r="D20" s="204"/>
    </row>
    <row r="21" spans="1:5">
      <c r="A21" s="205" t="s">
        <v>101</v>
      </c>
      <c r="B21" s="206" t="s">
        <v>102</v>
      </c>
      <c r="C21" s="206" t="s">
        <v>103</v>
      </c>
      <c r="D21" s="207" t="s">
        <v>104</v>
      </c>
    </row>
    <row r="22" spans="1:5" ht="15" thickBot="1">
      <c r="A22" s="203">
        <v>1</v>
      </c>
      <c r="B22" s="204" t="s">
        <v>50</v>
      </c>
      <c r="C22" s="230" t="s">
        <v>138</v>
      </c>
      <c r="D22" s="239" t="s">
        <v>137</v>
      </c>
    </row>
    <row r="23" spans="1:5">
      <c r="A23" s="240"/>
      <c r="B23" s="240"/>
      <c r="C23" s="240"/>
      <c r="D23" s="240"/>
    </row>
    <row r="24" spans="1:5">
      <c r="A24" s="214"/>
      <c r="B24" s="214"/>
      <c r="C24" s="214"/>
      <c r="D24" s="21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8"/>
  <sheetViews>
    <sheetView zoomScaleNormal="100" workbookViewId="0">
      <selection activeCell="G10" sqref="G10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11.44140625" style="14" customWidth="1"/>
    <col min="11" max="11" width="4.44140625" style="14" customWidth="1"/>
    <col min="12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JEN 2021-26 Final Decision - Capital expenditure sharing scheme model</v>
      </c>
      <c r="F1" s="103"/>
      <c r="G1" s="104" t="s">
        <v>42</v>
      </c>
      <c r="H1" s="150" t="s">
        <v>43</v>
      </c>
      <c r="I1" s="155" t="s">
        <v>31</v>
      </c>
      <c r="J1" s="212" t="s">
        <v>100</v>
      </c>
      <c r="K1" s="224" t="s">
        <v>119</v>
      </c>
      <c r="L1" s="232" t="s">
        <v>129</v>
      </c>
      <c r="M1" s="105"/>
    </row>
    <row r="2" spans="1:13" s="11" customFormat="1" ht="18" customHeight="1">
      <c r="B2" s="13" t="s">
        <v>30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30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51" t="s">
        <v>119</v>
      </c>
      <c r="J6" s="77"/>
      <c r="K6" s="77"/>
      <c r="L6" s="77"/>
      <c r="M6" s="77"/>
    </row>
    <row r="7" spans="1:13" s="69" customFormat="1" ht="11.25" customHeight="1">
      <c r="C7" s="68" t="s">
        <v>83</v>
      </c>
      <c r="D7" s="241" t="s">
        <v>139</v>
      </c>
      <c r="I7" s="77"/>
      <c r="J7" s="77"/>
      <c r="K7" s="77"/>
      <c r="L7" s="77"/>
    </row>
    <row r="8" spans="1:13" s="69" customFormat="1" ht="11.25" customHeight="1">
      <c r="C8" s="68" t="s">
        <v>84</v>
      </c>
      <c r="D8" s="223" t="s">
        <v>121</v>
      </c>
      <c r="J8" s="77"/>
      <c r="K8" s="77"/>
      <c r="L8" s="77"/>
      <c r="M8" s="77"/>
    </row>
    <row r="9" spans="1:13" s="69" customFormat="1" ht="11.25" customHeight="1">
      <c r="C9" s="179" t="s">
        <v>94</v>
      </c>
      <c r="D9" s="151" t="s">
        <v>95</v>
      </c>
      <c r="J9" s="77"/>
      <c r="K9" s="77"/>
      <c r="L9" s="77"/>
      <c r="M9" s="77"/>
    </row>
    <row r="10" spans="1:13" s="69" customFormat="1" ht="11.25" customHeight="1">
      <c r="C10" s="68"/>
      <c r="J10" s="77"/>
      <c r="K10" s="77"/>
      <c r="L10" s="77"/>
      <c r="M10" s="77"/>
    </row>
    <row r="11" spans="1:13" s="69" customFormat="1" ht="11.25" customHeight="1">
      <c r="C11" s="128" t="s">
        <v>82</v>
      </c>
      <c r="J11" s="77"/>
      <c r="K11" s="77"/>
      <c r="L11" s="77"/>
      <c r="M11" s="77"/>
    </row>
    <row r="12" spans="1:13" s="69" customFormat="1" ht="11.25" customHeight="1">
      <c r="C12" s="68"/>
      <c r="D12" s="70" t="s">
        <v>58</v>
      </c>
      <c r="E12" s="70" t="s">
        <v>59</v>
      </c>
      <c r="F12" s="70" t="s">
        <v>60</v>
      </c>
      <c r="G12" s="70" t="s">
        <v>61</v>
      </c>
      <c r="H12" s="70" t="s">
        <v>62</v>
      </c>
      <c r="J12" s="77"/>
      <c r="K12" s="77"/>
      <c r="L12" s="77"/>
      <c r="M12" s="77"/>
    </row>
    <row r="13" spans="1:13" s="69" customFormat="1" ht="11.25" customHeight="1">
      <c r="C13" s="68" t="s">
        <v>56</v>
      </c>
      <c r="D13" s="188">
        <v>2016</v>
      </c>
      <c r="E13" s="188">
        <v>2017</v>
      </c>
      <c r="F13" s="188">
        <v>2018</v>
      </c>
      <c r="G13" s="188">
        <v>2019</v>
      </c>
      <c r="H13" s="188">
        <v>2020</v>
      </c>
      <c r="J13" s="77"/>
      <c r="K13" s="77"/>
      <c r="L13" s="77"/>
      <c r="M13" s="77"/>
    </row>
    <row r="14" spans="1:13" s="69" customFormat="1" ht="11.25" customHeight="1">
      <c r="C14" s="68" t="s">
        <v>1</v>
      </c>
      <c r="D14" s="151" t="s">
        <v>8</v>
      </c>
      <c r="E14" s="151" t="s">
        <v>8</v>
      </c>
      <c r="F14" s="151" t="s">
        <v>8</v>
      </c>
      <c r="G14" s="151" t="s">
        <v>8</v>
      </c>
      <c r="H14" s="151" t="s">
        <v>8</v>
      </c>
      <c r="J14" s="77"/>
      <c r="K14" s="77"/>
      <c r="L14" s="77"/>
      <c r="M14" s="77"/>
    </row>
    <row r="15" spans="1:13" s="69" customFormat="1" ht="11.25" customHeight="1">
      <c r="C15" s="68" t="s">
        <v>2</v>
      </c>
      <c r="D15" s="151" t="s">
        <v>7</v>
      </c>
      <c r="E15" s="151" t="s">
        <v>7</v>
      </c>
      <c r="F15" s="151" t="s">
        <v>7</v>
      </c>
      <c r="G15" s="151" t="s">
        <v>7</v>
      </c>
      <c r="H15" s="151" t="s">
        <v>24</v>
      </c>
      <c r="J15" s="77"/>
      <c r="K15" s="77"/>
      <c r="L15" s="77"/>
      <c r="M15" s="77"/>
    </row>
    <row r="16" spans="1:13" s="69" customFormat="1" ht="11.25" customHeight="1">
      <c r="C16" s="68"/>
      <c r="D16" s="77"/>
      <c r="E16" s="77"/>
      <c r="F16" s="77"/>
      <c r="G16" s="77"/>
      <c r="H16" s="77"/>
      <c r="J16" s="77"/>
      <c r="K16" s="77"/>
      <c r="L16" s="77"/>
      <c r="M16" s="77"/>
    </row>
    <row r="17" spans="1:13" s="69" customFormat="1" ht="11.25" customHeight="1">
      <c r="C17" s="68"/>
      <c r="D17" s="70" t="s">
        <v>58</v>
      </c>
      <c r="E17" s="70" t="s">
        <v>59</v>
      </c>
      <c r="F17" s="70" t="s">
        <v>60</v>
      </c>
      <c r="G17" s="70" t="s">
        <v>61</v>
      </c>
      <c r="H17" s="70" t="s">
        <v>62</v>
      </c>
      <c r="J17" s="77"/>
      <c r="K17" s="77"/>
      <c r="L17" s="77"/>
      <c r="M17" s="77"/>
    </row>
    <row r="18" spans="1:13" s="69" customFormat="1" ht="11.25" customHeight="1">
      <c r="C18" s="68" t="s">
        <v>57</v>
      </c>
      <c r="D18" s="178" t="str">
        <f>D9</f>
        <v>2021-22</v>
      </c>
      <c r="E18" s="178" t="str">
        <f>IF(LEN(D18)&gt;4,CONCATENATE(LEFT(D18,4)+1&amp;"–"&amp;IF(RIGHT(D18,2)+1&gt;9,"","0")&amp;RIGHT(D18,2)+1),D18+1)</f>
        <v>2022–23</v>
      </c>
      <c r="F18" s="178" t="str">
        <f t="shared" ref="F18:H18" si="0">IF(LEN(E18)&gt;4,CONCATENATE(LEFT(E18,4)+1&amp;"–"&amp;IF(RIGHT(E18,2)+1&gt;9,"","0")&amp;RIGHT(E18,2)+1),E18+1)</f>
        <v>2023–24</v>
      </c>
      <c r="G18" s="178" t="str">
        <f t="shared" si="0"/>
        <v>2024–25</v>
      </c>
      <c r="H18" s="178" t="str">
        <f t="shared" si="0"/>
        <v>2025–26</v>
      </c>
      <c r="J18" s="77"/>
      <c r="K18" s="77"/>
      <c r="L18" s="77"/>
      <c r="M18" s="77"/>
    </row>
    <row r="19" spans="1:13" s="69" customFormat="1" ht="11.25" customHeight="1">
      <c r="C19" s="77"/>
      <c r="D19" s="77"/>
      <c r="E19" s="77"/>
      <c r="F19" s="77"/>
      <c r="G19" s="77"/>
      <c r="H19" s="77"/>
      <c r="J19" s="77"/>
      <c r="K19" s="77"/>
      <c r="L19" s="77"/>
      <c r="M19" s="77"/>
    </row>
    <row r="20" spans="1:13" s="69" customFormat="1" ht="11.25" customHeight="1">
      <c r="J20" s="77"/>
      <c r="K20" s="77"/>
      <c r="L20" s="77"/>
      <c r="M20" s="77"/>
    </row>
    <row r="21" spans="1:13" s="62" customFormat="1" ht="12.75" customHeight="1">
      <c r="A21" s="8"/>
      <c r="B21" s="29" t="s">
        <v>29</v>
      </c>
    </row>
    <row r="22" spans="1:13" ht="18" hidden="1" customHeight="1"/>
    <row r="23" spans="1:13" ht="0" hidden="1" customHeight="1"/>
    <row r="24" spans="1:13" ht="0" hidden="1" customHeight="1"/>
    <row r="25" spans="1:13" ht="0" hidden="1" customHeight="1"/>
    <row r="26" spans="1:13" ht="0" hidden="1" customHeight="1"/>
    <row r="27" spans="1:13" ht="0" hidden="1" customHeight="1"/>
    <row r="28" spans="1:13" ht="0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G132"/>
  <sheetViews>
    <sheetView showGridLines="0" zoomScaleNormal="100" workbookViewId="0">
      <selection activeCell="M22" sqref="M22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JEN 2021-26 Final Decision - Capital expenditure sharing scheme model</v>
      </c>
      <c r="D1" s="12"/>
      <c r="E1" s="12"/>
      <c r="F1" s="12"/>
      <c r="G1" s="103"/>
      <c r="H1" s="104" t="s">
        <v>42</v>
      </c>
      <c r="I1" s="150" t="s">
        <v>43</v>
      </c>
      <c r="J1" s="155" t="s">
        <v>31</v>
      </c>
      <c r="K1" s="202" t="s">
        <v>100</v>
      </c>
      <c r="L1" s="224" t="s">
        <v>126</v>
      </c>
      <c r="M1" s="232" t="s">
        <v>129</v>
      </c>
      <c r="O1" s="105"/>
      <c r="P1" s="77"/>
      <c r="Q1" s="77"/>
      <c r="R1" s="77"/>
      <c r="S1" s="77"/>
      <c r="T1" s="77"/>
      <c r="U1" s="77"/>
    </row>
    <row r="2" spans="1:21" s="11" customFormat="1" ht="18" customHeight="1">
      <c r="C2" s="13" t="s">
        <v>85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79" customFormat="1" ht="12.75" customHeight="1">
      <c r="C4" s="29" t="s">
        <v>38</v>
      </c>
      <c r="D4" s="80"/>
      <c r="E4" s="80"/>
      <c r="F4" s="80"/>
      <c r="N4" s="81"/>
    </row>
    <row r="5" spans="1:21" ht="11.25" customHeight="1">
      <c r="A5" s="11"/>
      <c r="B5" s="11"/>
      <c r="C5" s="16"/>
      <c r="D5" s="77"/>
      <c r="E5" s="77"/>
      <c r="F5" s="77"/>
      <c r="O5" s="11"/>
    </row>
    <row r="6" spans="1:21" ht="11.25" customHeight="1">
      <c r="A6" s="11"/>
      <c r="B6" s="11"/>
      <c r="C6" s="16"/>
      <c r="D6" s="74" t="s">
        <v>6</v>
      </c>
      <c r="E6" s="74" t="s">
        <v>47</v>
      </c>
      <c r="F6" s="74"/>
      <c r="M6" s="231"/>
      <c r="O6" s="11"/>
    </row>
    <row r="7" spans="1:21" ht="11.25" customHeight="1">
      <c r="A7" s="11"/>
      <c r="B7" s="11"/>
      <c r="C7" s="16"/>
      <c r="D7" s="77"/>
      <c r="E7" s="77"/>
      <c r="F7" s="168">
        <f>IF(LEN(G7)&gt;4,CONCATENATE(LEFT(G7,4)-1&amp;"–"&amp;IF(RIGHT(G7,2)="00","99",IF(RIGHT(G7,2)-1&lt;10,"0","")&amp;RIGHT(G7,2)-1)),G7-1)</f>
        <v>2015</v>
      </c>
      <c r="G7" s="167">
        <f>'Input | General'!D13</f>
        <v>2016</v>
      </c>
      <c r="H7" s="167">
        <f>'Input | General'!E13</f>
        <v>2017</v>
      </c>
      <c r="I7" s="167">
        <f>'Input | General'!F13</f>
        <v>2018</v>
      </c>
      <c r="J7" s="167">
        <f>'Input | General'!G13</f>
        <v>2019</v>
      </c>
      <c r="K7" s="167">
        <f>'Input | General'!H13</f>
        <v>2020</v>
      </c>
      <c r="L7" s="186" t="s">
        <v>96</v>
      </c>
      <c r="M7" s="167" t="str">
        <f>'Input | General'!D18</f>
        <v>2021-22</v>
      </c>
      <c r="N7" s="167" t="str">
        <f>'Input | General'!E18</f>
        <v>2022–23</v>
      </c>
      <c r="O7" s="167" t="str">
        <f>'Input | General'!F18</f>
        <v>2023–24</v>
      </c>
      <c r="P7" s="167" t="str">
        <f>'Input | General'!G18</f>
        <v>2024–25</v>
      </c>
      <c r="Q7" s="167" t="str">
        <f>'Input | General'!H18</f>
        <v>2025–26</v>
      </c>
    </row>
    <row r="8" spans="1:21" ht="11.25" customHeight="1">
      <c r="A8" s="11"/>
      <c r="B8" s="11"/>
      <c r="C8" s="78" t="s">
        <v>76</v>
      </c>
      <c r="D8" s="225" t="s">
        <v>120</v>
      </c>
      <c r="E8" s="76" t="s">
        <v>46</v>
      </c>
      <c r="F8" s="76"/>
      <c r="G8" s="152">
        <v>1.5037593984962294E-2</v>
      </c>
      <c r="H8" s="152">
        <v>1.0232558139534831E-2</v>
      </c>
      <c r="I8" s="152">
        <v>1.9337016574585641E-2</v>
      </c>
      <c r="J8" s="152">
        <v>2.0776874435411097E-2</v>
      </c>
      <c r="K8" s="152">
        <v>1.5929203539823078E-2</v>
      </c>
      <c r="L8" s="234">
        <f>L13</f>
        <v>1.2195121951219523E-2</v>
      </c>
      <c r="M8" s="84"/>
      <c r="N8" s="84"/>
      <c r="O8" s="84"/>
      <c r="P8" s="84"/>
      <c r="Q8" s="84"/>
    </row>
    <row r="9" spans="1:21" ht="11.25" customHeight="1">
      <c r="A9" s="11"/>
      <c r="B9" s="11"/>
      <c r="C9" s="78" t="s">
        <v>77</v>
      </c>
      <c r="D9" s="225" t="s">
        <v>120</v>
      </c>
      <c r="E9" s="76" t="s">
        <v>46</v>
      </c>
      <c r="F9" s="76"/>
      <c r="G9" s="123"/>
      <c r="H9" s="123"/>
      <c r="I9" s="123"/>
      <c r="J9" s="123"/>
      <c r="K9" s="123"/>
      <c r="L9" s="123"/>
      <c r="M9" s="152">
        <v>2.3650000000000001E-2</v>
      </c>
      <c r="N9" s="136">
        <f t="shared" ref="N9:Q9" si="0">M9</f>
        <v>2.3650000000000001E-2</v>
      </c>
      <c r="O9" s="136">
        <f t="shared" si="0"/>
        <v>2.3650000000000001E-2</v>
      </c>
      <c r="P9" s="136">
        <f t="shared" si="0"/>
        <v>2.3650000000000001E-2</v>
      </c>
      <c r="Q9" s="136">
        <f t="shared" si="0"/>
        <v>2.3650000000000001E-2</v>
      </c>
    </row>
    <row r="10" spans="1:21" ht="11.25" customHeight="1">
      <c r="A10" s="11"/>
      <c r="B10" s="11"/>
      <c r="C10" s="133" t="str">
        <f>"CPI Index (base year "&amp;F7&amp;")"</f>
        <v>CPI Index (base year 2015)</v>
      </c>
      <c r="D10" s="225" t="s">
        <v>120</v>
      </c>
      <c r="E10" s="76" t="s">
        <v>25</v>
      </c>
      <c r="F10" s="131">
        <v>1</v>
      </c>
      <c r="G10" s="118">
        <f t="shared" ref="G10:L10" si="1">IF(G7&lt;&gt;"",(F10*(1+G8)),"")</f>
        <v>1.0150375939849623</v>
      </c>
      <c r="H10" s="118">
        <f t="shared" si="1"/>
        <v>1.025424025179227</v>
      </c>
      <c r="I10" s="118">
        <f t="shared" si="1"/>
        <v>1.0452526665500961</v>
      </c>
      <c r="J10" s="118">
        <f t="shared" si="1"/>
        <v>1.066969749956286</v>
      </c>
      <c r="K10" s="118">
        <f t="shared" si="1"/>
        <v>1.0839657282741739</v>
      </c>
      <c r="L10" s="118">
        <f t="shared" si="1"/>
        <v>1.09718482252142</v>
      </c>
      <c r="M10" s="85">
        <f>IF(M7&lt;&gt;"",(L10*(1+M9)),"")</f>
        <v>1.1231332435740515</v>
      </c>
      <c r="N10" s="85">
        <f t="shared" ref="N10:Q10" si="2">IF(N7&lt;&gt;"",(M10*(1+N9)),"")</f>
        <v>1.1496953447845777</v>
      </c>
      <c r="O10" s="85">
        <f t="shared" si="2"/>
        <v>1.1768856396887328</v>
      </c>
      <c r="P10" s="85">
        <f t="shared" si="2"/>
        <v>1.2047189850673714</v>
      </c>
      <c r="Q10" s="85">
        <f t="shared" si="2"/>
        <v>1.2332105890642147</v>
      </c>
    </row>
    <row r="11" spans="1:21" ht="11.25" customHeight="1">
      <c r="A11" s="11"/>
      <c r="B11" s="11"/>
      <c r="C11" s="78"/>
      <c r="D11" s="76"/>
      <c r="E11" s="76"/>
      <c r="F11" s="76"/>
      <c r="G11" s="84"/>
      <c r="H11" s="84"/>
      <c r="I11" s="84"/>
      <c r="J11" s="84"/>
      <c r="K11" s="124"/>
      <c r="L11" s="124"/>
      <c r="M11" s="124"/>
      <c r="N11" s="124"/>
      <c r="O11" s="124"/>
      <c r="P11" s="124"/>
      <c r="Q11" s="124"/>
    </row>
    <row r="12" spans="1:21" ht="11.25" customHeight="1">
      <c r="A12" s="11"/>
      <c r="B12" s="11"/>
      <c r="C12" s="78"/>
      <c r="D12" s="76"/>
      <c r="E12" s="76"/>
      <c r="F12" s="76"/>
      <c r="G12" s="120"/>
      <c r="H12" s="120"/>
      <c r="I12" s="120"/>
      <c r="J12" s="120"/>
      <c r="K12" s="24"/>
      <c r="L12" s="24"/>
      <c r="M12" s="24"/>
      <c r="N12" s="24"/>
    </row>
    <row r="13" spans="1:21" ht="11.25" customHeight="1">
      <c r="A13" s="11"/>
      <c r="B13" s="11"/>
      <c r="C13" s="78" t="s">
        <v>76</v>
      </c>
      <c r="D13" s="76" t="s">
        <v>44</v>
      </c>
      <c r="E13" s="76" t="s">
        <v>46</v>
      </c>
      <c r="F13" s="76"/>
      <c r="G13" s="152">
        <v>1.5108593012275601E-2</v>
      </c>
      <c r="H13" s="152">
        <v>1.0232558139534831E-2</v>
      </c>
      <c r="I13" s="152">
        <v>1.9337016574585641E-2</v>
      </c>
      <c r="J13" s="152">
        <v>2.0776874435411097E-2</v>
      </c>
      <c r="K13" s="152">
        <v>1.5929203539823078E-2</v>
      </c>
      <c r="L13" s="187">
        <v>1.2195121951219523E-2</v>
      </c>
      <c r="M13" s="182"/>
      <c r="N13" s="120"/>
      <c r="O13" s="120"/>
      <c r="P13" s="120"/>
      <c r="Q13" s="120"/>
    </row>
    <row r="14" spans="1:21" ht="11.25" customHeight="1">
      <c r="A14" s="11"/>
      <c r="B14" s="11"/>
      <c r="C14" s="78" t="s">
        <v>77</v>
      </c>
      <c r="D14" s="76" t="s">
        <v>44</v>
      </c>
      <c r="E14" s="76" t="s">
        <v>46</v>
      </c>
      <c r="F14" s="76"/>
      <c r="G14" s="84"/>
      <c r="H14" s="84"/>
      <c r="I14" s="84"/>
      <c r="J14" s="124"/>
      <c r="K14" s="124"/>
      <c r="L14" s="124"/>
      <c r="M14" s="242">
        <v>1.9993872504847632E-2</v>
      </c>
      <c r="N14" s="136">
        <f t="shared" ref="N14:Q14" si="3">M14</f>
        <v>1.9993872504847632E-2</v>
      </c>
      <c r="O14" s="136">
        <f t="shared" si="3"/>
        <v>1.9993872504847632E-2</v>
      </c>
      <c r="P14" s="136">
        <f t="shared" si="3"/>
        <v>1.9993872504847632E-2</v>
      </c>
      <c r="Q14" s="136">
        <f t="shared" si="3"/>
        <v>1.9993872504847632E-2</v>
      </c>
    </row>
    <row r="15" spans="1:21" ht="11.25" customHeight="1">
      <c r="A15" s="11"/>
      <c r="B15" s="11"/>
      <c r="C15" s="133" t="str">
        <f>"CPI Index (base year "&amp;F7&amp;")"</f>
        <v>CPI Index (base year 2015)</v>
      </c>
      <c r="D15" s="76" t="s">
        <v>44</v>
      </c>
      <c r="E15" s="76" t="s">
        <v>25</v>
      </c>
      <c r="F15" s="131">
        <v>1</v>
      </c>
      <c r="G15" s="118">
        <f t="shared" ref="G15:L15" si="4">IF(G7&lt;&gt;"",(F15*(1+G13)),"")</f>
        <v>1.0151085930122756</v>
      </c>
      <c r="H15" s="118">
        <f t="shared" si="4"/>
        <v>1.0254957507082152</v>
      </c>
      <c r="I15" s="118">
        <f t="shared" si="4"/>
        <v>1.0453257790368271</v>
      </c>
      <c r="J15" s="183">
        <f t="shared" si="4"/>
        <v>1.0670443814919734</v>
      </c>
      <c r="K15" s="184">
        <f t="shared" si="4"/>
        <v>1.0840415486307837</v>
      </c>
      <c r="L15" s="183">
        <f t="shared" si="4"/>
        <v>1.0972615675165249</v>
      </c>
      <c r="M15" s="184">
        <f>IF(M7&lt;&gt;"",(L15*(1+M14)),"")</f>
        <v>1.1192000754019196</v>
      </c>
      <c r="N15" s="85">
        <f t="shared" ref="N15:Q15" si="5">IF(N7&lt;&gt;"",(M15*(1+N14)),"")</f>
        <v>1.1415772190169213</v>
      </c>
      <c r="O15" s="85">
        <f t="shared" si="5"/>
        <v>1.1644017683883843</v>
      </c>
      <c r="P15" s="85">
        <f t="shared" si="5"/>
        <v>1.1876826688899607</v>
      </c>
      <c r="Q15" s="85">
        <f t="shared" si="5"/>
        <v>1.2114290447479636</v>
      </c>
    </row>
    <row r="16" spans="1:21" s="122" customFormat="1" ht="11.25" customHeight="1">
      <c r="A16" s="2"/>
      <c r="B16" s="2"/>
      <c r="C16" s="78"/>
      <c r="D16" s="121"/>
      <c r="E16" s="121"/>
      <c r="F16" s="121"/>
      <c r="G16" s="84"/>
      <c r="H16" s="84"/>
      <c r="I16" s="84"/>
      <c r="J16" s="84"/>
      <c r="K16" s="125"/>
      <c r="L16" s="125"/>
      <c r="M16" s="125"/>
      <c r="N16" s="125"/>
      <c r="O16" s="125"/>
      <c r="P16" s="125"/>
      <c r="Q16" s="125"/>
    </row>
    <row r="17" spans="1:17" s="79" customFormat="1" ht="12.75" customHeight="1">
      <c r="C17" s="29" t="s">
        <v>63</v>
      </c>
      <c r="D17" s="80"/>
      <c r="E17" s="80"/>
      <c r="F17" s="80"/>
      <c r="N17" s="81"/>
    </row>
    <row r="18" spans="1:17" ht="11.25" customHeight="1">
      <c r="A18" s="16"/>
      <c r="B18" s="77"/>
      <c r="C18" s="77"/>
      <c r="D18" s="77"/>
      <c r="E18" s="77"/>
      <c r="F18" s="74"/>
      <c r="O18" s="11"/>
    </row>
    <row r="19" spans="1:17" ht="11.25" customHeight="1">
      <c r="C19" s="16"/>
      <c r="D19" s="74" t="s">
        <v>6</v>
      </c>
      <c r="E19" s="74" t="s">
        <v>47</v>
      </c>
      <c r="F19" s="77"/>
      <c r="G19" s="167">
        <f>G7</f>
        <v>2016</v>
      </c>
      <c r="H19" s="167">
        <f t="shared" ref="H19:Q19" si="6">H7</f>
        <v>2017</v>
      </c>
      <c r="I19" s="167">
        <f t="shared" si="6"/>
        <v>2018</v>
      </c>
      <c r="J19" s="167">
        <f t="shared" si="6"/>
        <v>2019</v>
      </c>
      <c r="K19" s="167">
        <f t="shared" si="6"/>
        <v>2020</v>
      </c>
      <c r="L19" s="186" t="s">
        <v>96</v>
      </c>
      <c r="M19" s="167" t="str">
        <f t="shared" si="6"/>
        <v>2021-22</v>
      </c>
      <c r="N19" s="167" t="str">
        <f t="shared" si="6"/>
        <v>2022–23</v>
      </c>
      <c r="O19" s="167" t="str">
        <f t="shared" si="6"/>
        <v>2023–24</v>
      </c>
      <c r="P19" s="167" t="str">
        <f t="shared" si="6"/>
        <v>2024–25</v>
      </c>
      <c r="Q19" s="167" t="str">
        <f t="shared" si="6"/>
        <v>2025–26</v>
      </c>
    </row>
    <row r="20" spans="1:17" ht="11.25" customHeight="1">
      <c r="C20" s="78" t="s">
        <v>10</v>
      </c>
      <c r="D20" s="76" t="s">
        <v>44</v>
      </c>
      <c r="E20" s="76" t="s">
        <v>46</v>
      </c>
      <c r="F20" s="77"/>
      <c r="G20" s="152">
        <v>3.9328628706946089E-2</v>
      </c>
      <c r="H20" s="152">
        <v>3.8730571453602369E-2</v>
      </c>
      <c r="I20" s="152">
        <v>3.821466541215579E-2</v>
      </c>
      <c r="J20" s="152">
        <v>3.7669116070430331E-2</v>
      </c>
      <c r="K20" s="152">
        <v>3.6561951019833616E-2</v>
      </c>
      <c r="L20" s="242">
        <v>1.2022316999911542E-2</v>
      </c>
      <c r="M20" s="124"/>
      <c r="N20" s="124"/>
      <c r="O20" s="124"/>
      <c r="P20" s="124"/>
      <c r="Q20" s="124"/>
    </row>
    <row r="21" spans="1:17" ht="11.25" customHeight="1">
      <c r="C21" s="146" t="s">
        <v>90</v>
      </c>
      <c r="D21" s="76" t="s">
        <v>44</v>
      </c>
      <c r="E21" s="76" t="s">
        <v>46</v>
      </c>
      <c r="F21" s="77"/>
      <c r="G21" s="181"/>
      <c r="H21" s="181"/>
      <c r="I21" s="181"/>
      <c r="J21" s="181"/>
      <c r="K21" s="181"/>
      <c r="L21" s="181"/>
      <c r="M21" s="242">
        <v>2.8504498758880059E-2</v>
      </c>
      <c r="N21" s="242">
        <v>2.6413525074088631E-2</v>
      </c>
      <c r="O21" s="242">
        <v>2.4322551389297196E-2</v>
      </c>
      <c r="P21" s="242">
        <v>2.2231577704505769E-2</v>
      </c>
      <c r="Q21" s="242">
        <v>2.0140604019714337E-2</v>
      </c>
    </row>
    <row r="22" spans="1:17" ht="11.25" customHeight="1">
      <c r="C22" s="78" t="s">
        <v>64</v>
      </c>
      <c r="D22" s="76" t="s">
        <v>55</v>
      </c>
      <c r="E22" s="76" t="s">
        <v>46</v>
      </c>
      <c r="F22" s="77"/>
      <c r="G22" s="137">
        <f t="shared" ref="G22:L22" si="7">IF(AND(G13&lt;&gt;"",G20&lt;&gt;""),((1+G20)*(1+G13)-1),"")</f>
        <v>5.5031421964085947E-2</v>
      </c>
      <c r="H22" s="137">
        <f t="shared" si="7"/>
        <v>4.9359442417313604E-2</v>
      </c>
      <c r="I22" s="137">
        <f t="shared" si="7"/>
        <v>5.8290639605208527E-2</v>
      </c>
      <c r="J22" s="137">
        <f t="shared" si="7"/>
        <v>5.9228637000529716E-2</v>
      </c>
      <c r="K22" s="137">
        <f t="shared" si="7"/>
        <v>5.3073557319264664E-2</v>
      </c>
      <c r="L22" s="189">
        <f t="shared" si="7"/>
        <v>2.4364052573081274E-2</v>
      </c>
      <c r="M22" s="137">
        <f>IF(AND(M14&lt;&gt;"",M21&lt;&gt;""),((1+M21)*(1+M14)-1),"")</f>
        <v>4.9068286577727216E-2</v>
      </c>
      <c r="N22" s="137">
        <f t="shared" ref="N22:Q22" si="8">IF(AND(N14&lt;&gt;"",N21&lt;&gt;""),((1+N21)*(1+N14)-1),"")</f>
        <v>4.6935506231671198E-2</v>
      </c>
      <c r="O22" s="137">
        <f t="shared" si="8"/>
        <v>4.480272588561518E-2</v>
      </c>
      <c r="P22" s="137">
        <f t="shared" si="8"/>
        <v>4.2669945539558718E-2</v>
      </c>
      <c r="Q22" s="137">
        <f t="shared" si="8"/>
        <v>4.05371651935027E-2</v>
      </c>
    </row>
    <row r="23" spans="1:17" ht="11.25" customHeight="1">
      <c r="A23" s="11"/>
      <c r="B23" s="11"/>
      <c r="C23" s="78"/>
      <c r="D23" s="76"/>
      <c r="E23" s="76"/>
      <c r="F23" s="77"/>
      <c r="G23" s="84"/>
      <c r="H23" s="20"/>
      <c r="I23" s="20"/>
      <c r="J23" s="20"/>
      <c r="K23" s="20"/>
      <c r="L23" s="20"/>
      <c r="M23" s="231"/>
      <c r="O23" s="11"/>
    </row>
    <row r="24" spans="1:17" s="62" customFormat="1" ht="12.75" customHeight="1">
      <c r="A24" s="8"/>
      <c r="B24" s="29" t="s">
        <v>29</v>
      </c>
      <c r="D24" s="63"/>
      <c r="E24" s="63"/>
    </row>
    <row r="25" spans="1:17" ht="18" hidden="1" customHeight="1">
      <c r="G25" s="83"/>
      <c r="H25" s="83"/>
      <c r="I25" s="83"/>
      <c r="J25" s="83"/>
      <c r="K25" s="83"/>
      <c r="L25" s="83"/>
      <c r="M25" s="83"/>
      <c r="N25" s="83"/>
    </row>
    <row r="26" spans="1:17" ht="18" hidden="1" customHeight="1">
      <c r="G26" s="83"/>
      <c r="H26" s="83"/>
      <c r="I26" s="83"/>
      <c r="J26" s="83"/>
      <c r="K26" s="83"/>
      <c r="L26" s="83"/>
      <c r="M26" s="83"/>
      <c r="N26" s="83"/>
    </row>
    <row r="27" spans="1:17" ht="18" hidden="1" customHeight="1">
      <c r="G27" s="83"/>
      <c r="H27" s="83"/>
      <c r="I27" s="83"/>
      <c r="J27" s="83"/>
      <c r="K27" s="83"/>
      <c r="L27" s="83"/>
      <c r="M27" s="83"/>
      <c r="N27" s="83"/>
    </row>
    <row r="28" spans="1:17" ht="18" hidden="1" customHeight="1">
      <c r="G28" s="83"/>
      <c r="H28" s="83"/>
      <c r="I28" s="83"/>
      <c r="J28" s="83"/>
      <c r="K28" s="83"/>
      <c r="L28" s="83"/>
      <c r="M28" s="83"/>
      <c r="N28" s="83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E1CDFF"/>
  </sheetPr>
  <dimension ref="A1:O127"/>
  <sheetViews>
    <sheetView zoomScaleNormal="100" workbookViewId="0">
      <selection activeCell="H23" sqref="H23:L23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11.33203125" style="11" customWidth="1"/>
    <col min="15" max="15" width="12.6640625" style="11" customWidth="1"/>
    <col min="16" max="16384" width="12.6640625" style="11" hidden="1"/>
  </cols>
  <sheetData>
    <row r="1" spans="2:15" ht="18" customHeight="1">
      <c r="B1" s="3" t="str">
        <f>'Input | General'!$B$1</f>
        <v>JEN 2021-26 Final Decision - Capital expenditure sharing scheme model</v>
      </c>
      <c r="D1" s="12"/>
      <c r="E1" s="12"/>
      <c r="F1" s="12"/>
      <c r="G1" s="12"/>
      <c r="H1" s="103"/>
      <c r="I1" s="104" t="s">
        <v>42</v>
      </c>
      <c r="J1" s="150" t="s">
        <v>43</v>
      </c>
      <c r="K1" s="155" t="s">
        <v>31</v>
      </c>
      <c r="L1" s="212" t="s">
        <v>100</v>
      </c>
      <c r="M1" s="224" t="s">
        <v>119</v>
      </c>
      <c r="N1" s="232" t="s">
        <v>129</v>
      </c>
      <c r="O1" s="238" t="s">
        <v>136</v>
      </c>
    </row>
    <row r="2" spans="2:15" ht="18" customHeight="1">
      <c r="B2" s="13" t="s">
        <v>32</v>
      </c>
      <c r="D2" s="13"/>
      <c r="E2" s="13"/>
      <c r="F2" s="13"/>
      <c r="G2" s="13"/>
    </row>
    <row r="3" spans="2:15" ht="3" customHeight="1">
      <c r="C3" s="10"/>
      <c r="D3" s="10"/>
      <c r="E3" s="10"/>
      <c r="F3" s="10"/>
      <c r="G3" s="10"/>
    </row>
    <row r="4" spans="2:15" s="8" customFormat="1" ht="12.75" customHeight="1">
      <c r="B4" s="29" t="s">
        <v>35</v>
      </c>
      <c r="D4" s="6"/>
      <c r="E4" s="6"/>
      <c r="F4" s="6"/>
      <c r="G4" s="6"/>
    </row>
    <row r="5" spans="2:15" ht="10.5" customHeight="1">
      <c r="D5" s="67"/>
      <c r="E5" s="67"/>
      <c r="F5" s="67"/>
      <c r="G5" s="67"/>
    </row>
    <row r="6" spans="2:15" s="67" customFormat="1" ht="10.5" customHeight="1">
      <c r="D6" s="74" t="s">
        <v>6</v>
      </c>
      <c r="E6" s="74" t="s">
        <v>47</v>
      </c>
      <c r="F6" s="74" t="s">
        <v>4</v>
      </c>
      <c r="G6" s="64"/>
      <c r="H6" s="169">
        <f>IF('Input | General'!D14="Yes",'Input | General'!D13,"n/a")</f>
        <v>2016</v>
      </c>
      <c r="I6" s="169">
        <f>IF('Input | General'!E14="Yes",'Input | General'!E13,"n/a")</f>
        <v>2017</v>
      </c>
      <c r="J6" s="169">
        <f>IF('Input | General'!F14="Yes",'Input | General'!F13,"n/a")</f>
        <v>2018</v>
      </c>
      <c r="K6" s="169">
        <f>IF('Input | General'!G14="Yes",'Input | General'!G13,"n/a")</f>
        <v>2019</v>
      </c>
      <c r="L6" s="169">
        <f>IF('Input | General'!H14="Yes",'Input | General'!H13,"n/a")</f>
        <v>2020</v>
      </c>
      <c r="M6" s="106"/>
      <c r="N6" s="106"/>
    </row>
    <row r="7" spans="2:15" s="67" customFormat="1" ht="10.5" customHeight="1">
      <c r="M7" s="106"/>
      <c r="N7" s="106"/>
    </row>
    <row r="8" spans="2:15" ht="10.5" customHeight="1">
      <c r="C8" s="78" t="s">
        <v>3</v>
      </c>
      <c r="D8" s="76" t="s">
        <v>44</v>
      </c>
      <c r="E8" s="76" t="s">
        <v>45</v>
      </c>
      <c r="F8" s="170">
        <f>'Input | Inflation and Disc Rate'!$F$7</f>
        <v>2015</v>
      </c>
      <c r="G8" s="67"/>
      <c r="H8" s="153">
        <v>167.75306659435577</v>
      </c>
      <c r="I8" s="153">
        <v>203.84213764546377</v>
      </c>
      <c r="J8" s="153">
        <v>169.31656060080007</v>
      </c>
      <c r="K8" s="153">
        <v>168.49436086174802</v>
      </c>
      <c r="L8" s="153">
        <v>153.12204666426095</v>
      </c>
      <c r="M8" s="2"/>
      <c r="N8" s="2"/>
    </row>
    <row r="9" spans="2:15" ht="10.5" customHeight="1">
      <c r="C9" s="78" t="s">
        <v>92</v>
      </c>
      <c r="D9" s="76" t="s">
        <v>44</v>
      </c>
      <c r="E9" s="76" t="s">
        <v>45</v>
      </c>
      <c r="F9" s="170">
        <f>'Input | Inflation and Disc Rate'!$F$7</f>
        <v>2015</v>
      </c>
      <c r="G9" s="67"/>
      <c r="H9" s="153">
        <v>29.65752003697375</v>
      </c>
      <c r="I9" s="153">
        <v>31.882176868159537</v>
      </c>
      <c r="J9" s="153">
        <v>29.212231401211675</v>
      </c>
      <c r="K9" s="153">
        <v>30.286585667854329</v>
      </c>
      <c r="L9" s="153">
        <v>32.201525604863882</v>
      </c>
      <c r="M9" s="2"/>
      <c r="N9" s="2"/>
    </row>
    <row r="10" spans="2:15" ht="10.5" customHeight="1">
      <c r="C10" s="78" t="s">
        <v>86</v>
      </c>
      <c r="D10" s="76" t="s">
        <v>44</v>
      </c>
      <c r="E10" s="76" t="s">
        <v>45</v>
      </c>
      <c r="F10" s="170">
        <f>'Input | Inflation and Disc Rate'!$F$7</f>
        <v>2015</v>
      </c>
      <c r="G10" s="67"/>
      <c r="H10" s="153">
        <v>3.6939242307692308</v>
      </c>
      <c r="I10" s="153">
        <v>0.16287384615384617</v>
      </c>
      <c r="J10" s="153">
        <v>0.1651246153846154</v>
      </c>
      <c r="K10" s="153">
        <v>0.25776423076923077</v>
      </c>
      <c r="L10" s="153">
        <v>0.16896115384615379</v>
      </c>
      <c r="M10" s="2"/>
      <c r="N10" s="2"/>
    </row>
    <row r="11" spans="2:15" s="67" customFormat="1" ht="10.5" customHeight="1">
      <c r="H11" s="66"/>
      <c r="I11" s="66"/>
      <c r="J11" s="66"/>
      <c r="K11" s="66"/>
      <c r="L11" s="66"/>
      <c r="M11" s="106"/>
      <c r="N11" s="106"/>
    </row>
    <row r="12" spans="2:15" ht="10.5" customHeight="1">
      <c r="C12" s="75" t="s">
        <v>5</v>
      </c>
      <c r="D12" s="217" t="s">
        <v>55</v>
      </c>
      <c r="E12" s="218" t="s">
        <v>45</v>
      </c>
      <c r="F12" s="219">
        <f>'Input | Inflation and Disc Rate'!$F$7</f>
        <v>2015</v>
      </c>
      <c r="G12" s="67"/>
      <c r="H12" s="220">
        <f>IF(H6="", "", H8-H9-H10)</f>
        <v>134.4016223266128</v>
      </c>
      <c r="I12" s="220">
        <f t="shared" ref="I12:L12" si="0">IF(I6="", "", I8-I9-I10)</f>
        <v>171.79708693115037</v>
      </c>
      <c r="J12" s="220">
        <f t="shared" si="0"/>
        <v>139.93920458420376</v>
      </c>
      <c r="K12" s="220">
        <f t="shared" si="0"/>
        <v>137.95001096312447</v>
      </c>
      <c r="L12" s="220">
        <f t="shared" si="0"/>
        <v>120.75155990555091</v>
      </c>
      <c r="M12" s="2"/>
      <c r="N12" s="2"/>
    </row>
    <row r="13" spans="2:15" ht="10.5" customHeight="1">
      <c r="D13" s="67"/>
      <c r="E13" s="67"/>
      <c r="F13" s="67"/>
      <c r="G13" s="67"/>
      <c r="M13" s="71"/>
      <c r="N13" s="71"/>
    </row>
    <row r="14" spans="2:15" s="8" customFormat="1" ht="12.75" customHeight="1">
      <c r="B14" s="73" t="s">
        <v>36</v>
      </c>
      <c r="D14" s="18"/>
      <c r="E14" s="18"/>
      <c r="F14" s="18"/>
      <c r="G14" s="18"/>
    </row>
    <row r="15" spans="2:15" s="2" customFormat="1" ht="10.5" customHeight="1">
      <c r="B15" s="72"/>
      <c r="D15" s="21"/>
      <c r="E15" s="21"/>
      <c r="F15" s="21"/>
      <c r="G15" s="21"/>
    </row>
    <row r="16" spans="2:15" s="2" customFormat="1" ht="10.5" customHeight="1">
      <c r="B16" s="72"/>
      <c r="C16" s="67"/>
      <c r="D16" s="74" t="s">
        <v>6</v>
      </c>
      <c r="E16" s="74" t="s">
        <v>47</v>
      </c>
      <c r="F16" s="74" t="s">
        <v>4</v>
      </c>
      <c r="G16" s="64"/>
      <c r="H16" s="169">
        <f>H6</f>
        <v>2016</v>
      </c>
      <c r="I16" s="169">
        <f t="shared" ref="I16:L16" si="1">I6</f>
        <v>2017</v>
      </c>
      <c r="J16" s="169">
        <f t="shared" si="1"/>
        <v>2018</v>
      </c>
      <c r="K16" s="169">
        <f t="shared" si="1"/>
        <v>2019</v>
      </c>
      <c r="L16" s="169">
        <f t="shared" si="1"/>
        <v>2020</v>
      </c>
      <c r="M16" s="106"/>
      <c r="N16" s="106"/>
    </row>
    <row r="17" spans="2:14" s="2" customFormat="1" ht="10.5" customHeight="1">
      <c r="B17" s="7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06"/>
      <c r="N17" s="106"/>
    </row>
    <row r="18" spans="2:14" s="2" customFormat="1" ht="10.5" customHeight="1">
      <c r="B18" s="72"/>
      <c r="C18" s="78" t="s">
        <v>72</v>
      </c>
      <c r="D18" s="76" t="s">
        <v>44</v>
      </c>
      <c r="E18" s="76" t="s">
        <v>45</v>
      </c>
      <c r="F18" s="76" t="s">
        <v>48</v>
      </c>
      <c r="G18" s="67"/>
      <c r="H18" s="153">
        <v>120.46736619385238</v>
      </c>
      <c r="I18" s="153">
        <v>155.9191644780505</v>
      </c>
      <c r="J18" s="153">
        <v>149.71881501999999</v>
      </c>
      <c r="K18" s="153">
        <v>145.23598082000001</v>
      </c>
      <c r="L18" s="237">
        <v>147.05554299999983</v>
      </c>
    </row>
    <row r="19" spans="2:14" s="2" customFormat="1" ht="10.5" customHeight="1">
      <c r="B19" s="72"/>
      <c r="C19" s="78" t="s">
        <v>92</v>
      </c>
      <c r="D19" s="76" t="s">
        <v>44</v>
      </c>
      <c r="E19" s="76" t="s">
        <v>45</v>
      </c>
      <c r="F19" s="76" t="s">
        <v>48</v>
      </c>
      <c r="G19" s="135"/>
      <c r="H19" s="154">
        <v>12.874707940000002</v>
      </c>
      <c r="I19" s="153">
        <v>24.226373509999995</v>
      </c>
      <c r="J19" s="153">
        <v>24.511393379999998</v>
      </c>
      <c r="K19" s="153">
        <v>47.40634734999999</v>
      </c>
      <c r="L19" s="237">
        <v>36.772136990000007</v>
      </c>
    </row>
    <row r="20" spans="2:14" s="2" customFormat="1" ht="10.5" customHeight="1">
      <c r="B20" s="72"/>
      <c r="C20" s="134" t="s">
        <v>86</v>
      </c>
      <c r="D20" s="76" t="s">
        <v>44</v>
      </c>
      <c r="E20" s="76" t="s">
        <v>45</v>
      </c>
      <c r="F20" s="76" t="s">
        <v>48</v>
      </c>
      <c r="G20" s="135"/>
      <c r="H20" s="154">
        <v>0.13893908999999999</v>
      </c>
      <c r="I20" s="153">
        <v>0.2198215</v>
      </c>
      <c r="J20" s="153">
        <v>0.34981207000000003</v>
      </c>
      <c r="K20" s="153">
        <v>0.43762409999999996</v>
      </c>
      <c r="L20" s="237">
        <v>3.5233368400000007</v>
      </c>
    </row>
    <row r="21" spans="2:14" s="2" customFormat="1" ht="10.5" customHeight="1">
      <c r="B21" s="72"/>
      <c r="C21" s="147" t="s">
        <v>91</v>
      </c>
      <c r="D21" s="76" t="s">
        <v>44</v>
      </c>
      <c r="E21" s="76" t="s">
        <v>45</v>
      </c>
      <c r="F21" s="76" t="s">
        <v>48</v>
      </c>
      <c r="G21" s="67"/>
      <c r="H21" s="154"/>
      <c r="I21" s="153"/>
      <c r="J21" s="153"/>
      <c r="K21" s="153"/>
      <c r="L21" s="153"/>
    </row>
    <row r="22" spans="2:14" s="2" customFormat="1" ht="10.5" customHeight="1">
      <c r="B22" s="72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106"/>
      <c r="N22" s="106"/>
    </row>
    <row r="23" spans="2:14" s="2" customFormat="1" ht="10.5" customHeight="1">
      <c r="B23" s="72"/>
      <c r="C23" s="75" t="s">
        <v>71</v>
      </c>
      <c r="D23" s="217" t="s">
        <v>55</v>
      </c>
      <c r="E23" s="221" t="s">
        <v>45</v>
      </c>
      <c r="F23" s="221" t="s">
        <v>48</v>
      </c>
      <c r="G23" s="67"/>
      <c r="H23" s="220">
        <f>IF(H16="", "", H18-H19-H20-H21)</f>
        <v>107.45371916385238</v>
      </c>
      <c r="I23" s="220">
        <f t="shared" ref="I23:L23" si="2">IF(I16="", "", I18-I19-I20-I21)</f>
        <v>131.47296946805051</v>
      </c>
      <c r="J23" s="220">
        <f t="shared" si="2"/>
        <v>124.85760956999999</v>
      </c>
      <c r="K23" s="220">
        <f t="shared" si="2"/>
        <v>97.392009370000025</v>
      </c>
      <c r="L23" s="220">
        <f t="shared" si="2"/>
        <v>106.76006916999982</v>
      </c>
    </row>
    <row r="24" spans="2:14" s="2" customFormat="1" ht="10.5" customHeight="1">
      <c r="B24" s="72"/>
      <c r="D24" s="21"/>
      <c r="E24" s="21"/>
      <c r="F24" s="21"/>
      <c r="G24" s="21"/>
      <c r="M24" s="71"/>
      <c r="N24" s="71"/>
    </row>
    <row r="25" spans="2:14" s="8" customFormat="1" ht="12.75" customHeight="1">
      <c r="B25" s="73" t="s">
        <v>37</v>
      </c>
      <c r="D25" s="18"/>
      <c r="E25" s="18"/>
      <c r="F25" s="18"/>
      <c r="G25" s="18"/>
    </row>
    <row r="26" spans="2:14" ht="10.5" customHeight="1">
      <c r="D26" s="67"/>
      <c r="E26" s="67"/>
      <c r="F26" s="67"/>
      <c r="G26" s="67"/>
      <c r="M26" s="2"/>
      <c r="N26" s="2"/>
    </row>
    <row r="27" spans="2:14" ht="10.5" customHeight="1">
      <c r="D27" s="67"/>
      <c r="E27" s="67"/>
      <c r="F27" s="67"/>
      <c r="G27" s="67"/>
      <c r="H27" s="169" t="str">
        <f>'Input | General'!D18</f>
        <v>2021-22</v>
      </c>
      <c r="I27" s="169" t="str">
        <f>'Input | General'!E18</f>
        <v>2022–23</v>
      </c>
      <c r="J27" s="169" t="str">
        <f>'Input | General'!F18</f>
        <v>2023–24</v>
      </c>
      <c r="K27" s="169" t="str">
        <f>'Input | General'!G18</f>
        <v>2024–25</v>
      </c>
      <c r="L27" s="169" t="str">
        <f>'Input | General'!H18</f>
        <v>2025–26</v>
      </c>
      <c r="M27" s="2"/>
      <c r="N27" s="2"/>
    </row>
    <row r="28" spans="2:14" s="17" customFormat="1" ht="10.5" customHeight="1">
      <c r="C28" s="16"/>
      <c r="D28" s="67"/>
      <c r="E28" s="67"/>
      <c r="F28" s="67"/>
      <c r="G28" s="67"/>
      <c r="M28" s="19"/>
      <c r="N28" s="19"/>
    </row>
    <row r="29" spans="2:14" ht="11.25" customHeight="1">
      <c r="C29" s="82" t="s">
        <v>80</v>
      </c>
      <c r="D29" s="226" t="s">
        <v>120</v>
      </c>
      <c r="E29" s="76" t="s">
        <v>45</v>
      </c>
      <c r="F29" s="76" t="s">
        <v>48</v>
      </c>
      <c r="G29" s="67"/>
      <c r="H29" s="154">
        <v>8.6070710628181182</v>
      </c>
      <c r="I29" s="154">
        <v>0</v>
      </c>
      <c r="J29" s="154">
        <v>0</v>
      </c>
      <c r="K29" s="154">
        <v>0</v>
      </c>
      <c r="L29" s="154">
        <v>0</v>
      </c>
      <c r="M29" s="2"/>
      <c r="N29" s="2"/>
    </row>
    <row r="30" spans="2:14" ht="11.25" customHeight="1">
      <c r="C30" s="82" t="s">
        <v>80</v>
      </c>
      <c r="D30" s="65" t="s">
        <v>55</v>
      </c>
      <c r="E30" s="76" t="s">
        <v>45</v>
      </c>
      <c r="F30" s="76">
        <f>'Input | Inflation and Disc Rate'!$F$7</f>
        <v>2015</v>
      </c>
      <c r="G30" s="67"/>
      <c r="H30" s="190">
        <f>IF(H29&lt;&gt;"",H29/('Input | Inflation and Disc Rate'!L10*(1+'Input | Inflation and Disc Rate'!M9)^0.5),"")</f>
        <v>7.7535367903226993</v>
      </c>
      <c r="I30" s="190">
        <f>IF(I29&lt;&gt;"",I29/('Input | Inflation and Disc Rate'!M10*(1+'Input | Inflation and Disc Rate'!N9)^0.5),"")</f>
        <v>0</v>
      </c>
      <c r="J30" s="190">
        <f>IF(J29&lt;&gt;"",J29/('Input | Inflation and Disc Rate'!N10*(1+'Input | Inflation and Disc Rate'!O9)^0.5),"")</f>
        <v>0</v>
      </c>
      <c r="K30" s="190">
        <f>IF(K29&lt;&gt;"",K29/('Input | Inflation and Disc Rate'!O10*(1+'Input | Inflation and Disc Rate'!P9)^0.5),"")</f>
        <v>0</v>
      </c>
      <c r="L30" s="190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2" t="s">
        <v>80</v>
      </c>
      <c r="D31" s="65" t="s">
        <v>44</v>
      </c>
      <c r="E31" s="76" t="s">
        <v>45</v>
      </c>
      <c r="F31" s="76" t="s">
        <v>48</v>
      </c>
      <c r="G31" s="67"/>
      <c r="H31" s="190">
        <f>IF(H29&lt;&gt;"",H30*'Input | Inflation and Disc Rate'!L15*(1+'Input | Inflation and Disc Rate'!M14)^0.5,"")</f>
        <v>8.592287521615189</v>
      </c>
      <c r="I31" s="190">
        <f>IF(I29&lt;&gt;"",I30*'Input | Inflation and Disc Rate'!M15*(1+'Input | Inflation and Disc Rate'!N14)^0.5,"")</f>
        <v>0</v>
      </c>
      <c r="J31" s="190">
        <f>IF(J29&lt;&gt;"",J30*'Input | Inflation and Disc Rate'!N15*(1+'Input | Inflation and Disc Rate'!O14)^0.5,"")</f>
        <v>0</v>
      </c>
      <c r="K31" s="190">
        <f>IF(K29&lt;&gt;"",K30*'Input | Inflation and Disc Rate'!O15*(1+'Input | Inflation and Disc Rate'!P14)^0.5,"")</f>
        <v>0</v>
      </c>
      <c r="L31" s="190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7"/>
      <c r="E32" s="67"/>
      <c r="F32" s="67"/>
      <c r="G32" s="67"/>
      <c r="M32" s="71"/>
      <c r="N32" s="71"/>
    </row>
    <row r="33" spans="1:8" s="62" customFormat="1" ht="12.75" customHeight="1">
      <c r="A33" s="8"/>
      <c r="B33" s="29" t="s">
        <v>29</v>
      </c>
      <c r="D33" s="63"/>
      <c r="E33" s="63"/>
      <c r="F33" s="63"/>
      <c r="H33" s="236"/>
    </row>
    <row r="34" spans="1:8" ht="10.5" hidden="1" customHeight="1"/>
    <row r="35" spans="1:8" ht="18" hidden="1" customHeight="1"/>
    <row r="36" spans="1:8" s="2" customFormat="1" ht="18" hidden="1" customHeight="1"/>
    <row r="37" spans="1:8" ht="18" hidden="1" customHeight="1"/>
    <row r="38" spans="1:8" ht="18" hidden="1" customHeight="1"/>
    <row r="39" spans="1:8" s="17" customFormat="1" ht="18" hidden="1" customHeight="1"/>
    <row r="40" spans="1:8" ht="18" hidden="1" customHeight="1"/>
    <row r="41" spans="1:8" ht="18" hidden="1" customHeight="1"/>
    <row r="42" spans="1:8" ht="18" hidden="1" customHeight="1"/>
    <row r="43" spans="1:8" ht="18" hidden="1" customHeight="1"/>
    <row r="44" spans="1:8" s="17" customFormat="1" ht="18" hidden="1" customHeight="1"/>
    <row r="45" spans="1:8" ht="18" hidden="1" customHeight="1"/>
    <row r="46" spans="1:8" ht="18" hidden="1" customHeight="1"/>
    <row r="47" spans="1:8" ht="18" hidden="1" customHeight="1"/>
    <row r="48" spans="1:8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</sheetData>
  <conditionalFormatting sqref="H8:H10 I8:L9">
    <cfRule type="expression" dxfId="8" priority="21">
      <formula>IF($H$6&lt;&gt;"","FALSE","TRUE")</formula>
    </cfRule>
  </conditionalFormatting>
  <conditionalFormatting sqref="H18:J18 L18">
    <cfRule type="expression" dxfId="7" priority="16">
      <formula>IF($H$6&lt;&gt;"","FALSE","TRUE")</formula>
    </cfRule>
  </conditionalFormatting>
  <conditionalFormatting sqref="H19:H20">
    <cfRule type="expression" dxfId="6" priority="11">
      <formula>IF($H$6&lt;&gt;"","FALSE","TRUE")</formula>
    </cfRule>
  </conditionalFormatting>
  <conditionalFormatting sqref="I10:L10">
    <cfRule type="expression" dxfId="5" priority="7">
      <formula>IF($H$6&lt;&gt;"","FALSE","TRUE")</formula>
    </cfRule>
  </conditionalFormatting>
  <conditionalFormatting sqref="I19:J20 L19:L20">
    <cfRule type="expression" dxfId="4" priority="6">
      <formula>IF($H$6&lt;&gt;"","FALSE","TRUE")</formula>
    </cfRule>
  </conditionalFormatting>
  <conditionalFormatting sqref="H21">
    <cfRule type="expression" dxfId="3" priority="4">
      <formula>IF($H$6&lt;&gt;"","FALSE","TRUE")</formula>
    </cfRule>
  </conditionalFormatting>
  <conditionalFormatting sqref="I21:L21">
    <cfRule type="expression" dxfId="2" priority="3">
      <formula>IF($H$6&lt;&gt;"","FALSE","TRUE")</formula>
    </cfRule>
  </conditionalFormatting>
  <conditionalFormatting sqref="H29:L29">
    <cfRule type="expression" dxfId="1" priority="2">
      <formula>IF($H$6&lt;&gt;"","FALSE","TRUE")</formula>
    </cfRule>
  </conditionalFormatting>
  <conditionalFormatting sqref="K18:K20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60"/>
  <sheetViews>
    <sheetView tabSelected="1" topLeftCell="A22" zoomScaleNormal="100" workbookViewId="0">
      <selection activeCell="J35" sqref="J35"/>
    </sheetView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3.441406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JEN 2021-26 Final Decision - Capital expenditure sharing scheme model</v>
      </c>
      <c r="D1" s="104" t="s">
        <v>42</v>
      </c>
      <c r="E1" s="150" t="s">
        <v>43</v>
      </c>
      <c r="F1" s="155" t="s">
        <v>31</v>
      </c>
      <c r="G1" s="212" t="s">
        <v>100</v>
      </c>
      <c r="H1" s="215" t="s">
        <v>99</v>
      </c>
      <c r="I1" s="224" t="s">
        <v>119</v>
      </c>
      <c r="J1" s="232" t="s">
        <v>129</v>
      </c>
      <c r="N1"/>
      <c r="Q1" s="105"/>
      <c r="R1" s="77"/>
      <c r="S1" s="77"/>
      <c r="T1" s="77"/>
      <c r="U1" s="77"/>
      <c r="V1" s="77"/>
      <c r="W1" s="77"/>
    </row>
    <row r="2" spans="2:23" s="11" customFormat="1" ht="18" customHeight="1">
      <c r="B2" s="13" t="s">
        <v>79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39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6"/>
      <c r="J5" s="86"/>
      <c r="K5" s="86"/>
      <c r="L5" s="86"/>
      <c r="M5" s="86"/>
      <c r="N5" s="86"/>
      <c r="O5" s="86"/>
    </row>
    <row r="6" spans="2:23" ht="11.25" customHeight="1">
      <c r="C6" s="114" t="s">
        <v>11</v>
      </c>
      <c r="D6" s="115"/>
      <c r="E6" s="116"/>
      <c r="F6" s="116"/>
      <c r="G6" s="116"/>
      <c r="H6" s="116"/>
      <c r="I6" s="95"/>
    </row>
    <row r="7" spans="2:23" ht="11.25" customHeight="1">
      <c r="C7" s="113" t="s">
        <v>9</v>
      </c>
      <c r="D7" s="169">
        <f>IF('Input | General'!D14="Yes",'Input | General'!D13,"n/a")</f>
        <v>2016</v>
      </c>
      <c r="E7" s="169">
        <f>IF('Input | General'!E14="Yes",'Input | General'!E13,"n/a")</f>
        <v>2017</v>
      </c>
      <c r="F7" s="169">
        <f>IF('Input | General'!F14="Yes",'Input | General'!F13,"n/a")</f>
        <v>2018</v>
      </c>
      <c r="G7" s="169">
        <f>IF('Input | General'!G14="Yes",'Input | General'!G13,"n/a")</f>
        <v>2019</v>
      </c>
      <c r="H7" s="171">
        <f>IF('Input | General'!H14="Yes",'Input | General'!H13,"n/a")</f>
        <v>2020</v>
      </c>
      <c r="I7" s="95"/>
    </row>
    <row r="8" spans="2:23" ht="11.25" customHeight="1">
      <c r="C8" s="138" t="s">
        <v>88</v>
      </c>
      <c r="D8" s="156">
        <f>'Input | Inflation and Disc Rate'!G20</f>
        <v>3.9328628706946089E-2</v>
      </c>
      <c r="E8" s="157">
        <f>'Input | Inflation and Disc Rate'!H20</f>
        <v>3.8730571453602369E-2</v>
      </c>
      <c r="F8" s="157">
        <f>'Input | Inflation and Disc Rate'!I20</f>
        <v>3.821466541215579E-2</v>
      </c>
      <c r="G8" s="157">
        <f>'Input | Inflation and Disc Rate'!J20</f>
        <v>3.7669116070430331E-2</v>
      </c>
      <c r="H8" s="158">
        <f>'Input | Inflation and Disc Rate'!K20</f>
        <v>3.6561951019833616E-2</v>
      </c>
      <c r="I8" s="95"/>
      <c r="J8" s="77"/>
      <c r="K8" s="77"/>
    </row>
    <row r="9" spans="2:23" ht="11.25" customHeight="1">
      <c r="C9" s="141" t="s">
        <v>89</v>
      </c>
      <c r="D9" s="157">
        <f>'Input | Inflation and Disc Rate'!G22</f>
        <v>5.5031421964085947E-2</v>
      </c>
      <c r="E9" s="157">
        <f>'Input | Inflation and Disc Rate'!H22</f>
        <v>4.9359442417313604E-2</v>
      </c>
      <c r="F9" s="157">
        <f>'Input | Inflation and Disc Rate'!I22</f>
        <v>5.8290639605208527E-2</v>
      </c>
      <c r="G9" s="157">
        <f>'Input | Inflation and Disc Rate'!J22</f>
        <v>5.9228637000529716E-2</v>
      </c>
      <c r="H9" s="158">
        <f>'Input | Inflation and Disc Rate'!K22</f>
        <v>5.3073557319264664E-2</v>
      </c>
      <c r="I9" s="95"/>
      <c r="J9" s="77"/>
      <c r="K9" s="77"/>
    </row>
    <row r="10" spans="2:23" ht="11.25" customHeight="1">
      <c r="C10" s="110" t="s">
        <v>13</v>
      </c>
      <c r="D10" s="159">
        <f>'Input | Reported Capex'!H$12*'Input | Inflation and Disc Rate'!G$15*(1+'Input | Inflation and Disc Rate'!G$20)^0.5</f>
        <v>139.08921635916488</v>
      </c>
      <c r="E10" s="160">
        <f>'Input | Reported Capex'!I$12*'Input | Inflation and Disc Rate'!H$15*(1+'Input | Inflation and Disc Rate'!H$20)^0.5</f>
        <v>179.55649427616444</v>
      </c>
      <c r="F10" s="160">
        <f>'Input | Reported Capex'!J$12*'Input | Inflation and Disc Rate'!I$15*(1+'Input | Inflation and Disc Rate'!I$20)^0.5</f>
        <v>149.05091328672162</v>
      </c>
      <c r="G10" s="160">
        <f>'Input | Reported Capex'!K$12*'Input | Inflation and Disc Rate'!J$15*(1+'Input | Inflation and Disc Rate'!J$20)^0.5</f>
        <v>149.94557994179439</v>
      </c>
      <c r="H10" s="161">
        <f>'Input | Reported Capex'!L$12*'Input | Inflation and Disc Rate'!K$15*(1+'Input | Inflation and Disc Rate'!K$20)^0.5</f>
        <v>133.27120035226173</v>
      </c>
      <c r="I10" s="95"/>
      <c r="J10" s="77"/>
      <c r="K10" s="77"/>
      <c r="N10" s="132"/>
    </row>
    <row r="11" spans="2:23" ht="11.25" customHeight="1">
      <c r="C11" s="110" t="s">
        <v>15</v>
      </c>
      <c r="D11" s="162">
        <f>'Input | Reported Capex'!H23*(1+D$9)^0.5</f>
        <v>110.37078946234494</v>
      </c>
      <c r="E11" s="160">
        <f>'Input | Reported Capex'!I23*(1+E$9)^0.5</f>
        <v>134.67860504623616</v>
      </c>
      <c r="F11" s="160">
        <f>'Input | Reported Capex'!J23*(1+F$9)^0.5</f>
        <v>128.44508587680991</v>
      </c>
      <c r="G11" s="160">
        <f>'Input | Reported Capex'!K23*(1+G$9)^0.5</f>
        <v>100.23472034908754</v>
      </c>
      <c r="H11" s="161">
        <f>'Input | Reported Capex'!L23*(1+H$9)^0.5</f>
        <v>109.55651285942557</v>
      </c>
      <c r="I11" s="95"/>
      <c r="J11" s="77"/>
      <c r="K11" s="77"/>
    </row>
    <row r="12" spans="2:23" s="19" customFormat="1" ht="11.25" customHeight="1">
      <c r="C12" s="110" t="s">
        <v>16</v>
      </c>
      <c r="D12" s="149">
        <f>(D10-D11)</f>
        <v>28.718426896819935</v>
      </c>
      <c r="E12" s="139">
        <f>(E10-E11)</f>
        <v>44.877889229928286</v>
      </c>
      <c r="F12" s="139">
        <f t="shared" ref="F12:H12" si="0">(F10-F11)</f>
        <v>20.605827409911711</v>
      </c>
      <c r="G12" s="139">
        <f t="shared" si="0"/>
        <v>49.710859592706854</v>
      </c>
      <c r="H12" s="142">
        <f t="shared" si="0"/>
        <v>23.714687492836163</v>
      </c>
      <c r="I12" s="95"/>
      <c r="J12" s="77"/>
      <c r="K12" s="77"/>
    </row>
    <row r="13" spans="2:23" ht="11.25" customHeight="1">
      <c r="C13" s="110" t="s">
        <v>66</v>
      </c>
      <c r="D13" s="87"/>
      <c r="E13" s="139">
        <f>$D$12*$E$8</f>
        <v>1.1122810849623406</v>
      </c>
      <c r="F13" s="139">
        <f>$D$12*$F$8*(1+'Input | Inflation and Disc Rate'!H13)</f>
        <v>1.108694950211736</v>
      </c>
      <c r="G13" s="139">
        <f>$D$12*$G$8*(1+'Input | Inflation and Disc Rate'!H13)*(1+'Input | Inflation and Disc Rate'!I13)</f>
        <v>1.1140001079470525</v>
      </c>
      <c r="H13" s="142">
        <f>$D$12*$H$8*(1+'Input | Inflation and Disc Rate'!H13)*(1+'Input | Inflation and Disc Rate'!I13)*(1+'Input | Inflation and Disc Rate'!J13)</f>
        <v>1.1037227356763435</v>
      </c>
      <c r="I13" s="95"/>
      <c r="J13" s="77"/>
      <c r="K13" s="77"/>
      <c r="L13" s="94"/>
      <c r="M13" s="94"/>
      <c r="N13" s="94"/>
      <c r="O13" s="94"/>
    </row>
    <row r="14" spans="2:23" ht="11.25" customHeight="1">
      <c r="C14" s="110" t="s">
        <v>67</v>
      </c>
      <c r="D14" s="87"/>
      <c r="E14" s="140"/>
      <c r="F14" s="139">
        <f>$E$12*F$8</f>
        <v>1.7149935213254994</v>
      </c>
      <c r="G14" s="139">
        <f>$E$12*G$8*(1+'Input | Inflation and Disc Rate'!I13)</f>
        <v>1.7231998463781573</v>
      </c>
      <c r="H14" s="142">
        <f>$E$12*H$8*(1+'Input | Inflation and Disc Rate'!I13)*(1+'Input | Inflation and Disc Rate'!J13)</f>
        <v>1.7073022120855588</v>
      </c>
      <c r="I14" s="95"/>
      <c r="J14" s="77"/>
      <c r="K14" s="77"/>
      <c r="L14" s="94"/>
      <c r="M14" s="94"/>
      <c r="N14" s="95"/>
      <c r="O14" s="95"/>
    </row>
    <row r="15" spans="2:23" ht="11.25" customHeight="1">
      <c r="C15" s="110" t="s">
        <v>68</v>
      </c>
      <c r="D15" s="87"/>
      <c r="E15" s="139"/>
      <c r="F15" s="139"/>
      <c r="G15" s="139">
        <f>$F$12*G$8</f>
        <v>0.7762033044312191</v>
      </c>
      <c r="H15" s="142">
        <f>$F$12*$H$8*(1+'Input | Inflation and Disc Rate'!J13)</f>
        <v>0.76904232638419223</v>
      </c>
      <c r="I15" s="95"/>
      <c r="J15" s="77"/>
      <c r="K15" s="77"/>
      <c r="L15" s="94"/>
      <c r="M15" s="94"/>
      <c r="N15" s="94"/>
      <c r="O15" s="94"/>
    </row>
    <row r="16" spans="2:23" ht="11.25" customHeight="1">
      <c r="C16" s="110" t="s">
        <v>69</v>
      </c>
      <c r="D16" s="87"/>
      <c r="E16" s="139"/>
      <c r="F16" s="139"/>
      <c r="G16" s="139"/>
      <c r="H16" s="142">
        <f>$G$12*$H$8</f>
        <v>1.8175260135823741</v>
      </c>
      <c r="I16" s="95"/>
      <c r="J16" s="77"/>
      <c r="K16" s="77"/>
      <c r="L16" s="94"/>
      <c r="M16" s="94"/>
      <c r="N16" s="94"/>
      <c r="O16" s="94"/>
    </row>
    <row r="17" spans="3:15" ht="11.25" customHeight="1">
      <c r="C17" s="110" t="s">
        <v>70</v>
      </c>
      <c r="D17" s="87"/>
      <c r="E17" s="139"/>
      <c r="F17" s="139"/>
      <c r="G17" s="139"/>
      <c r="H17" s="142"/>
      <c r="I17" s="95"/>
      <c r="J17" s="77"/>
      <c r="K17" s="77"/>
      <c r="L17" s="94"/>
      <c r="M17" s="94"/>
      <c r="N17" s="94"/>
      <c r="O17" s="94"/>
    </row>
    <row r="18" spans="3:15" s="19" customFormat="1" ht="11.25" customHeight="1">
      <c r="C18" s="111" t="s">
        <v>17</v>
      </c>
      <c r="D18" s="88">
        <f>SUM(D13:D17)</f>
        <v>0</v>
      </c>
      <c r="E18" s="143">
        <f>SUM(E13:E17)</f>
        <v>1.1122810849623406</v>
      </c>
      <c r="F18" s="143">
        <f t="shared" ref="F18:H18" si="1">SUM(F13:F17)</f>
        <v>2.8236884715372357</v>
      </c>
      <c r="G18" s="143">
        <f t="shared" si="1"/>
        <v>3.6134032587564291</v>
      </c>
      <c r="H18" s="144">
        <f t="shared" si="1"/>
        <v>5.3975932877284691</v>
      </c>
      <c r="I18" s="95"/>
      <c r="J18" s="77"/>
      <c r="K18" s="77"/>
      <c r="L18" s="94"/>
      <c r="M18" s="94"/>
      <c r="N18" s="94"/>
      <c r="O18" s="94"/>
    </row>
    <row r="19" spans="3:15" ht="11.25" customHeight="1">
      <c r="C19" s="138" t="s">
        <v>87</v>
      </c>
      <c r="D19" s="119">
        <f>E19*(1+E$9)</f>
        <v>1.2387328395097892</v>
      </c>
      <c r="E19" s="143">
        <f>F19*(1+F$9)</f>
        <v>1.1804657102586635</v>
      </c>
      <c r="F19" s="143">
        <f>G19*(1+G$9)</f>
        <v>1.1154456687805838</v>
      </c>
      <c r="G19" s="143">
        <f>H19*(1+H$9)</f>
        <v>1.0530735573192647</v>
      </c>
      <c r="H19" s="145">
        <v>1</v>
      </c>
      <c r="I19" s="95"/>
      <c r="J19" s="77"/>
      <c r="K19" s="77"/>
      <c r="L19" s="95"/>
      <c r="M19" s="95"/>
      <c r="N19" s="95"/>
      <c r="O19" s="95"/>
    </row>
    <row r="20" spans="3:15" s="19" customFormat="1" ht="11.25" customHeight="1">
      <c r="C20" s="199" t="s">
        <v>98</v>
      </c>
      <c r="D20" s="87">
        <f>D12*D19</f>
        <v>35.574458496152062</v>
      </c>
      <c r="E20" s="139">
        <f>E12*E19</f>
        <v>52.976809384716923</v>
      </c>
      <c r="F20" s="139">
        <f t="shared" ref="F20:H20" si="2">F12*F19</f>
        <v>22.984680936026255</v>
      </c>
      <c r="G20" s="139">
        <f t="shared" si="2"/>
        <v>52.349191748690295</v>
      </c>
      <c r="H20" s="142">
        <f t="shared" si="2"/>
        <v>23.714687492836163</v>
      </c>
      <c r="I20" s="95"/>
      <c r="J20" s="77"/>
      <c r="K20" s="77"/>
      <c r="L20" s="95"/>
      <c r="M20" s="95"/>
      <c r="N20" s="95"/>
      <c r="O20" s="95"/>
    </row>
    <row r="21" spans="3:15" s="19" customFormat="1" ht="11.25" customHeight="1">
      <c r="C21" s="227" t="s">
        <v>125</v>
      </c>
      <c r="D21" s="88">
        <f>D18*D19</f>
        <v>0</v>
      </c>
      <c r="E21" s="143">
        <f>E18*E19</f>
        <v>1.3130096809673462</v>
      </c>
      <c r="F21" s="143">
        <f t="shared" ref="F21:H21" si="3">F18*F19</f>
        <v>3.1496710755618764</v>
      </c>
      <c r="G21" s="143">
        <f t="shared" si="3"/>
        <v>3.8051794237276559</v>
      </c>
      <c r="H21" s="144">
        <f t="shared" si="3"/>
        <v>5.3975932877284691</v>
      </c>
      <c r="I21" s="95"/>
      <c r="J21" s="77"/>
      <c r="K21" s="77"/>
      <c r="L21" s="95"/>
      <c r="M21" s="95"/>
      <c r="N21" s="95"/>
      <c r="O21" s="95"/>
    </row>
    <row r="22" spans="3:15" s="77" customFormat="1" ht="11.25" customHeight="1"/>
    <row r="23" spans="3:15" ht="11.25" customHeight="1">
      <c r="C23" s="114" t="s">
        <v>12</v>
      </c>
      <c r="D23" s="115"/>
      <c r="E23" s="116"/>
      <c r="F23" s="116"/>
      <c r="G23" s="116"/>
      <c r="H23" s="116"/>
      <c r="I23" s="95"/>
      <c r="J23" s="77"/>
      <c r="K23" s="77"/>
      <c r="L23" s="95"/>
      <c r="M23" s="95"/>
      <c r="N23" s="95"/>
      <c r="O23" s="95"/>
    </row>
    <row r="24" spans="3:15" ht="11.25" customHeight="1">
      <c r="C24" s="109" t="s">
        <v>9</v>
      </c>
      <c r="D24" s="172" t="str">
        <f>'Input | General'!$D$18</f>
        <v>2021-22</v>
      </c>
      <c r="E24" s="172" t="str">
        <f>'Input | General'!$E$18</f>
        <v>2022–23</v>
      </c>
      <c r="F24" s="172" t="str">
        <f>'Input | General'!$F$18</f>
        <v>2023–24</v>
      </c>
      <c r="G24" s="172" t="str">
        <f>'Input | General'!$G$18</f>
        <v>2024–25</v>
      </c>
      <c r="H24" s="173" t="str">
        <f>'Input | General'!$H$18</f>
        <v>2025–26</v>
      </c>
      <c r="I24" s="95"/>
      <c r="J24" s="77"/>
      <c r="K24" s="77"/>
      <c r="L24" s="95"/>
      <c r="M24" s="95"/>
      <c r="N24" s="95"/>
      <c r="O24" s="95"/>
    </row>
    <row r="25" spans="3:15" ht="11.25" customHeight="1">
      <c r="C25" s="112" t="s">
        <v>65</v>
      </c>
      <c r="D25" s="163">
        <f>'Input | Inflation and Disc Rate'!M$22</f>
        <v>4.9068286577727216E-2</v>
      </c>
      <c r="E25" s="163">
        <f>'Input | Inflation and Disc Rate'!N$22</f>
        <v>4.6935506231671198E-2</v>
      </c>
      <c r="F25" s="163">
        <f>'Input | Inflation and Disc Rate'!O$22</f>
        <v>4.480272588561518E-2</v>
      </c>
      <c r="G25" s="163">
        <f>'Input | Inflation and Disc Rate'!P$22</f>
        <v>4.2669945539558718E-2</v>
      </c>
      <c r="H25" s="164">
        <f>'Input | Inflation and Disc Rate'!Q$22</f>
        <v>4.05371651935027E-2</v>
      </c>
      <c r="I25" s="95"/>
      <c r="J25" s="77"/>
      <c r="K25" s="77"/>
      <c r="L25" s="95"/>
      <c r="M25" s="95"/>
      <c r="N25" s="95"/>
      <c r="O25" s="95"/>
    </row>
    <row r="26" spans="3:15" ht="11.25" customHeight="1">
      <c r="C26" s="113" t="s">
        <v>14</v>
      </c>
      <c r="D26" s="160">
        <f>'Input | Reported Capex'!H31</f>
        <v>8.592287521615189</v>
      </c>
      <c r="E26" s="160">
        <f>'Input | Reported Capex'!I31</f>
        <v>0</v>
      </c>
      <c r="F26" s="160">
        <f>'Input | Reported Capex'!J31</f>
        <v>0</v>
      </c>
      <c r="G26" s="160">
        <f>'Input | Reported Capex'!K31</f>
        <v>0</v>
      </c>
      <c r="H26" s="161">
        <f>'Input | Reported Capex'!L31</f>
        <v>0</v>
      </c>
      <c r="I26" s="95"/>
      <c r="J26" s="77"/>
      <c r="K26" s="77"/>
      <c r="L26" s="95"/>
      <c r="M26" s="95"/>
      <c r="N26" s="95"/>
      <c r="O26" s="95"/>
    </row>
    <row r="27" spans="3:15" ht="11.25" customHeight="1">
      <c r="C27" s="228" t="s">
        <v>123</v>
      </c>
      <c r="D27" s="194">
        <f>1/((1+D25)^(0.5)*(1+'Input | Inflation and Disc Rate'!$L$22))</f>
        <v>0.95311167883327064</v>
      </c>
      <c r="E27" s="192">
        <f>1/((1+E25)^(0.5)*(1+D25)*(1+'Input | Inflation and Disc Rate'!$L$22))</f>
        <v>0.90945653393310344</v>
      </c>
      <c r="F27" s="192">
        <f>1/((1+F25)^(0.5)*(1+E25)*(1+D25)*(1+'Input | Inflation and Disc Rate'!$L$22))</f>
        <v>0.86957057314072816</v>
      </c>
      <c r="G27" s="192">
        <f>1/((1+G25)^(0.5)*(1+F25)*(1+E25)*(1+D25)*(1+'Input | Inflation and Disc Rate'!$L$22))</f>
        <v>0.83313284902662577</v>
      </c>
      <c r="H27" s="193">
        <f>1/((1+H25)^(0.5)*(1+G25)*(1+F25)*(1+E25)*(1+D25)*(1+'Input | Inflation and Disc Rate'!$L$22))</f>
        <v>0.79985641500795235</v>
      </c>
      <c r="I27" s="95"/>
      <c r="J27" s="77"/>
      <c r="K27" s="77"/>
      <c r="L27" s="95"/>
      <c r="M27" s="95"/>
      <c r="N27" s="95"/>
      <c r="O27" s="95"/>
    </row>
    <row r="28" spans="3:15" ht="11.25" customHeight="1">
      <c r="C28" s="201" t="s">
        <v>97</v>
      </c>
      <c r="D28" s="89">
        <f>D26*D27</f>
        <v>8.1894095847448156</v>
      </c>
      <c r="E28" s="89">
        <f t="shared" ref="E28:G28" si="4">E26*E27</f>
        <v>0</v>
      </c>
      <c r="F28" s="89">
        <f t="shared" si="4"/>
        <v>0</v>
      </c>
      <c r="G28" s="89">
        <f t="shared" si="4"/>
        <v>0</v>
      </c>
      <c r="H28" s="90">
        <f>H26*H27</f>
        <v>0</v>
      </c>
      <c r="I28" s="95"/>
      <c r="J28" s="77"/>
      <c r="K28" s="77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7"/>
      <c r="K29" s="77"/>
      <c r="L29" s="95"/>
      <c r="M29" s="95"/>
      <c r="N29" s="95"/>
      <c r="O29" s="95"/>
    </row>
    <row r="30" spans="3:15" ht="11.25" customHeight="1">
      <c r="C30" s="108" t="s">
        <v>18</v>
      </c>
      <c r="D30" s="117"/>
      <c r="E30" s="94"/>
      <c r="F30" s="94"/>
      <c r="G30" s="94"/>
      <c r="H30" s="94"/>
      <c r="I30" s="95"/>
      <c r="J30" s="77"/>
      <c r="K30" s="77"/>
      <c r="L30" s="95"/>
      <c r="M30" s="95"/>
      <c r="N30" s="95"/>
      <c r="O30" s="95"/>
    </row>
    <row r="31" spans="3:15" ht="11.25" customHeight="1">
      <c r="C31" s="110" t="s">
        <v>19</v>
      </c>
      <c r="D31" s="100">
        <f>SUM(D20:H20)-SUM(D28:H28)</f>
        <v>179.41041847367686</v>
      </c>
      <c r="E31" s="94"/>
      <c r="F31" s="94"/>
      <c r="G31" s="94"/>
      <c r="H31" s="94"/>
      <c r="I31" s="95"/>
      <c r="J31" s="77"/>
      <c r="K31" s="77"/>
      <c r="L31" s="95"/>
      <c r="M31" s="95"/>
      <c r="N31" s="95"/>
      <c r="O31" s="95"/>
    </row>
    <row r="32" spans="3:15" ht="11.25" customHeight="1">
      <c r="C32" s="110" t="s">
        <v>20</v>
      </c>
      <c r="D32" s="99">
        <v>0.3</v>
      </c>
      <c r="E32" s="94"/>
      <c r="F32" s="94"/>
      <c r="G32" s="94"/>
      <c r="H32" s="94"/>
      <c r="I32" s="95"/>
      <c r="J32" s="77"/>
      <c r="K32" s="77"/>
      <c r="L32" s="95"/>
      <c r="M32" s="95"/>
      <c r="N32" s="95"/>
      <c r="O32" s="95"/>
    </row>
    <row r="33" spans="1:16382" ht="11.25" customHeight="1">
      <c r="C33" s="110" t="s">
        <v>21</v>
      </c>
      <c r="D33" s="100">
        <f>(1-D32)*D31</f>
        <v>125.58729293157378</v>
      </c>
      <c r="E33" s="94"/>
      <c r="F33" s="94"/>
      <c r="G33" s="94"/>
      <c r="H33" s="94"/>
      <c r="I33" s="95"/>
      <c r="J33" s="77"/>
      <c r="K33" s="77"/>
      <c r="L33" s="95"/>
      <c r="M33" s="95"/>
      <c r="N33" s="95"/>
      <c r="O33" s="95"/>
    </row>
    <row r="34" spans="1:16382" ht="11.25" customHeight="1">
      <c r="C34" s="110" t="s">
        <v>22</v>
      </c>
      <c r="D34" s="100">
        <f>D32*D31</f>
        <v>53.823125542103057</v>
      </c>
      <c r="E34" s="94"/>
      <c r="F34" s="94"/>
      <c r="G34" s="94"/>
      <c r="H34" s="94"/>
      <c r="I34" s="95"/>
      <c r="J34" s="77"/>
      <c r="K34" s="77"/>
      <c r="L34" s="95"/>
      <c r="M34" s="95"/>
      <c r="N34" s="95"/>
      <c r="O34" s="95"/>
    </row>
    <row r="35" spans="1:16382" ht="11.25" customHeight="1">
      <c r="C35" s="110" t="s">
        <v>23</v>
      </c>
      <c r="D35" s="100">
        <f>SUM(D21:H21)</f>
        <v>13.665453467985348</v>
      </c>
      <c r="E35" s="94"/>
      <c r="F35" s="94"/>
      <c r="G35" s="94"/>
      <c r="H35" s="94"/>
      <c r="I35" s="95"/>
      <c r="J35" s="77"/>
      <c r="K35" s="77"/>
      <c r="L35" s="95"/>
      <c r="M35" s="95"/>
      <c r="N35" s="95"/>
      <c r="O35" s="95"/>
    </row>
    <row r="36" spans="1:16382" ht="11.25" customHeight="1">
      <c r="C36" s="200" t="s">
        <v>115</v>
      </c>
      <c r="D36" s="101">
        <f>D34-D35</f>
        <v>40.157672074117713</v>
      </c>
      <c r="E36" s="94"/>
      <c r="F36" s="185"/>
      <c r="G36" s="94"/>
      <c r="H36" s="94"/>
      <c r="I36" s="95"/>
      <c r="J36" s="77"/>
      <c r="K36" s="77"/>
      <c r="L36" s="95"/>
      <c r="M36" s="95"/>
      <c r="N36" s="95"/>
      <c r="O36" s="95"/>
    </row>
    <row r="37" spans="1:16382" ht="11.25" customHeight="1">
      <c r="C37" s="191" t="s">
        <v>114</v>
      </c>
      <c r="D37" s="195">
        <f>D36*(1+'Input | Inflation and Disc Rate'!L22)</f>
        <v>41.136075707744077</v>
      </c>
      <c r="E37" s="94"/>
      <c r="F37" s="185"/>
      <c r="G37" s="94"/>
      <c r="H37" s="94"/>
      <c r="I37" s="95"/>
      <c r="J37" s="77"/>
      <c r="K37" s="77"/>
      <c r="L37" s="95"/>
      <c r="M37" s="95"/>
      <c r="N37" s="95"/>
      <c r="O37" s="95"/>
    </row>
    <row r="38" spans="1:16382" ht="11.25" customHeight="1">
      <c r="D38" s="25"/>
      <c r="J38" s="2"/>
    </row>
    <row r="39" spans="1:16382" s="8" customFormat="1" ht="12" customHeight="1">
      <c r="B39" s="29" t="s">
        <v>40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1"/>
      <c r="D41" s="174" t="str">
        <f>'Input | General'!D18</f>
        <v>2021-22</v>
      </c>
      <c r="E41" s="174" t="str">
        <f>'Input | General'!E18</f>
        <v>2022–23</v>
      </c>
      <c r="F41" s="174" t="str">
        <f>'Input | General'!F18</f>
        <v>2023–24</v>
      </c>
      <c r="G41" s="174" t="str">
        <f>'Input | General'!G18</f>
        <v>2024–25</v>
      </c>
      <c r="H41" s="174" t="str">
        <f>'Input | General'!H18</f>
        <v>2025–26</v>
      </c>
      <c r="I41" s="92"/>
      <c r="J41" s="92"/>
      <c r="K41" s="92"/>
      <c r="L41" s="92"/>
      <c r="M41" s="92"/>
      <c r="N41" s="92"/>
      <c r="O41" s="92"/>
    </row>
    <row r="42" spans="1:16382" s="30" customFormat="1" ht="11.25" customHeight="1">
      <c r="C42" s="98" t="s">
        <v>93</v>
      </c>
      <c r="D42" s="165">
        <f>1/(1+'Input | Inflation and Disc Rate'!M21)</f>
        <v>0.97228548947206639</v>
      </c>
      <c r="E42" s="165">
        <f>D42/(1+'Input | Inflation and Disc Rate'!N21)</f>
        <v>0.94726488468854186</v>
      </c>
      <c r="F42" s="165">
        <f>E42/(1+'Input | Inflation and Disc Rate'!O21)</f>
        <v>0.92477206852837379</v>
      </c>
      <c r="G42" s="165">
        <f>F42/(1+'Input | Inflation and Disc Rate'!P21)</f>
        <v>0.90466004836694225</v>
      </c>
      <c r="H42" s="166">
        <f>G42/(1+'Input | Inflation and Disc Rate'!Q21)</f>
        <v>0.88679937334350001</v>
      </c>
      <c r="I42" s="92"/>
      <c r="J42" s="92"/>
      <c r="K42" s="92"/>
      <c r="L42" s="92"/>
      <c r="M42" s="92"/>
      <c r="N42" s="92"/>
      <c r="O42" s="92"/>
    </row>
    <row r="43" spans="1:16382" s="30" customFormat="1" ht="11.25" customHeight="1">
      <c r="C43" s="229" t="str">
        <f>CONCATENATE("CESS Payment Per Year (NPV, $", 'Output | Models'!$F$8," million end of year)")</f>
        <v>CESS Payment Per Year (NPV, $2020–21 million end of year)</v>
      </c>
      <c r="D43" s="196">
        <f>D37/(SUM(D42:H42))</f>
        <v>8.873600378751501</v>
      </c>
      <c r="E43" s="197">
        <f>D43</f>
        <v>8.873600378751501</v>
      </c>
      <c r="F43" s="197">
        <f t="shared" ref="F43:H43" si="5">E43</f>
        <v>8.873600378751501</v>
      </c>
      <c r="G43" s="197">
        <f t="shared" si="5"/>
        <v>8.873600378751501</v>
      </c>
      <c r="H43" s="198">
        <f t="shared" si="5"/>
        <v>8.873600378751501</v>
      </c>
      <c r="I43" s="92"/>
      <c r="J43" s="92"/>
      <c r="K43" s="92"/>
      <c r="L43" s="92"/>
      <c r="M43" s="92"/>
      <c r="N43" s="92"/>
      <c r="O43" s="92"/>
    </row>
    <row r="44" spans="1:16382" s="77" customFormat="1" ht="11.25" customHeight="1"/>
    <row r="45" spans="1:16382" s="30" customFormat="1" ht="11.25" customHeight="1">
      <c r="C45" s="180" t="str">
        <f>CONCATENATE("Total CESS Payment ($", 'Output | Models'!$F$8," million)")</f>
        <v>Total CESS Payment ($2020–21 million)</v>
      </c>
      <c r="D45" s="148">
        <f>SUM(D43:H43)</f>
        <v>44.368001893757508</v>
      </c>
      <c r="E45" s="69"/>
      <c r="F45" s="69"/>
      <c r="G45" s="69"/>
      <c r="H45" s="69"/>
      <c r="I45" s="92"/>
      <c r="J45" s="92"/>
      <c r="K45" s="92"/>
      <c r="L45" s="92"/>
      <c r="M45" s="92"/>
      <c r="N45" s="92"/>
      <c r="O45" s="92"/>
    </row>
    <row r="46" spans="1:16382" s="30" customFormat="1" ht="11.25" customHeight="1">
      <c r="C46" s="68"/>
      <c r="D46" s="97"/>
      <c r="E46" s="69"/>
      <c r="F46" s="69"/>
      <c r="G46" s="69"/>
      <c r="H46" s="69"/>
      <c r="I46" s="92"/>
      <c r="J46" s="92"/>
      <c r="K46" s="92"/>
      <c r="L46" s="92"/>
      <c r="M46" s="92"/>
      <c r="N46" s="92"/>
      <c r="O46" s="92"/>
    </row>
    <row r="47" spans="1:16382" s="30" customFormat="1" ht="11.25" customHeight="1"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1:16382" ht="12" customHeight="1">
      <c r="A48" s="29"/>
      <c r="B48" s="29" t="s">
        <v>29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9"/>
  <sheetViews>
    <sheetView showGridLines="0" zoomScaleNormal="100" workbookViewId="0">
      <selection activeCell="J8" sqref="J8:N8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JEN 2021-26 Final Decision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42</v>
      </c>
      <c r="L1" s="150" t="s">
        <v>43</v>
      </c>
      <c r="M1" s="155" t="s">
        <v>31</v>
      </c>
      <c r="N1" s="224" t="s">
        <v>119</v>
      </c>
      <c r="O1" s="232" t="s">
        <v>129</v>
      </c>
      <c r="R1" s="105"/>
      <c r="S1" s="77"/>
      <c r="T1" s="77"/>
      <c r="U1" s="77"/>
      <c r="V1" s="77"/>
      <c r="W1" s="77"/>
    </row>
    <row r="2" spans="1:27" s="37" customFormat="1" ht="13.8" thickBot="1">
      <c r="B2" s="38" t="s">
        <v>75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43"/>
      <c r="K3" s="243"/>
      <c r="L3" s="243"/>
      <c r="M3" s="42"/>
      <c r="N3" s="243"/>
      <c r="O3" s="243"/>
      <c r="P3" s="243"/>
      <c r="Q3" s="243"/>
      <c r="R3" s="243"/>
      <c r="S3" s="243"/>
      <c r="T3" s="243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51</v>
      </c>
      <c r="C4" s="44"/>
      <c r="D4" s="44"/>
      <c r="E4" s="44"/>
      <c r="F4" s="44"/>
      <c r="G4" s="46"/>
      <c r="H4" s="46"/>
      <c r="I4" s="46"/>
      <c r="J4" s="47" t="s">
        <v>52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7"/>
      <c r="R5" s="77"/>
      <c r="S5" s="77"/>
      <c r="T5" s="77"/>
      <c r="U5" s="77"/>
      <c r="V5" s="77"/>
      <c r="W5" s="77"/>
      <c r="X5" s="77"/>
    </row>
    <row r="6" spans="1:27" ht="11.25" customHeight="1">
      <c r="C6" s="54" t="s">
        <v>54</v>
      </c>
      <c r="D6" s="55" t="s">
        <v>6</v>
      </c>
      <c r="E6" s="55" t="s">
        <v>47</v>
      </c>
      <c r="F6" s="55" t="s">
        <v>4</v>
      </c>
      <c r="H6" s="55"/>
      <c r="I6" s="55"/>
      <c r="J6" s="175" t="str">
        <f>'Calc | CESS Revenue Increments'!D41</f>
        <v>2021-22</v>
      </c>
      <c r="K6" s="175" t="str">
        <f>'Calc | CESS Revenue Increments'!E41</f>
        <v>2022–23</v>
      </c>
      <c r="L6" s="175" t="str">
        <f>'Calc | CESS Revenue Increments'!F41</f>
        <v>2023–24</v>
      </c>
      <c r="M6" s="175" t="str">
        <f>'Calc | CESS Revenue Increments'!G41</f>
        <v>2024–25</v>
      </c>
      <c r="N6" s="175" t="str">
        <f>'Calc | CESS Revenue Increments'!H41</f>
        <v>2025–26</v>
      </c>
      <c r="O6" s="56" t="s">
        <v>81</v>
      </c>
      <c r="P6" s="129"/>
      <c r="Q6" s="77"/>
      <c r="R6" s="77"/>
      <c r="S6" s="77"/>
      <c r="T6" s="77"/>
      <c r="U6" s="77"/>
      <c r="V6" s="77"/>
      <c r="W6" s="77"/>
      <c r="X6" s="77"/>
    </row>
    <row r="7" spans="1:27" ht="11.25" customHeight="1">
      <c r="C7" s="54"/>
      <c r="D7" s="55"/>
      <c r="E7" s="55"/>
      <c r="F7" s="55"/>
      <c r="H7" s="55"/>
      <c r="I7" s="55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7" ht="11.25" customHeight="1">
      <c r="C8" s="57" t="s">
        <v>78</v>
      </c>
      <c r="D8" s="177" t="s">
        <v>53</v>
      </c>
      <c r="E8" s="52" t="s">
        <v>45</v>
      </c>
      <c r="F8" s="176" t="str">
        <f>IF(LEN(J6)&gt;4,CONCATENATE(LEFT(J6,4)-1&amp;"–"&amp;IF(RIGHT(J6,2)="00","99",IF(RIGHT(J6,2)-1&lt;10,"0","")&amp;RIGHT(J6,2)-1)),J6-1)</f>
        <v>2020–21</v>
      </c>
      <c r="H8" s="55"/>
      <c r="I8" s="55"/>
      <c r="J8" s="126">
        <f>'Calc | CESS Revenue Increments'!D43</f>
        <v>8.873600378751501</v>
      </c>
      <c r="K8" s="126">
        <f>'Calc | CESS Revenue Increments'!E43</f>
        <v>8.873600378751501</v>
      </c>
      <c r="L8" s="126">
        <f>'Calc | CESS Revenue Increments'!F43</f>
        <v>8.873600378751501</v>
      </c>
      <c r="M8" s="126">
        <f>'Calc | CESS Revenue Increments'!G43</f>
        <v>8.873600378751501</v>
      </c>
      <c r="N8" s="126">
        <f>'Calc | CESS Revenue Increments'!H43</f>
        <v>8.873600378751501</v>
      </c>
      <c r="O8" s="60">
        <f>SUM(J8:N8)</f>
        <v>44.368001893757508</v>
      </c>
      <c r="P8" s="130"/>
      <c r="Q8" s="77"/>
      <c r="R8" s="77"/>
      <c r="S8" s="77"/>
      <c r="T8" s="77"/>
      <c r="U8" s="77"/>
      <c r="V8" s="77"/>
      <c r="W8" s="77"/>
      <c r="X8" s="77"/>
    </row>
    <row r="9" spans="1:27" ht="11.25" customHeight="1">
      <c r="C9" s="57"/>
      <c r="D9" s="58"/>
      <c r="E9" s="55"/>
      <c r="F9" s="55"/>
      <c r="G9" s="55"/>
      <c r="H9" s="55"/>
      <c r="I9" s="55"/>
      <c r="N9" s="59"/>
      <c r="Q9" s="77"/>
      <c r="R9" s="77"/>
      <c r="S9" s="77"/>
      <c r="T9" s="77"/>
      <c r="U9" s="77"/>
      <c r="V9" s="77"/>
      <c r="W9" s="77"/>
      <c r="X9" s="77"/>
    </row>
    <row r="10" spans="1:27" ht="11.25" customHeight="1">
      <c r="D10" s="58"/>
      <c r="E10" s="55"/>
      <c r="F10" s="55"/>
      <c r="G10" s="55"/>
      <c r="H10" s="55"/>
      <c r="I10" s="55"/>
      <c r="J10" s="127"/>
      <c r="K10" s="127"/>
      <c r="L10" s="127"/>
      <c r="M10" s="127"/>
      <c r="N10" s="127"/>
      <c r="Q10" s="77"/>
      <c r="R10" s="77"/>
      <c r="S10" s="77"/>
      <c r="T10" s="77"/>
      <c r="U10" s="77"/>
      <c r="V10" s="77"/>
      <c r="W10" s="77"/>
      <c r="X10" s="77"/>
    </row>
    <row r="11" spans="1:27" s="50" customFormat="1" ht="13.2">
      <c r="A11" s="44"/>
      <c r="B11" s="45" t="s">
        <v>29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  <row r="39" ht="11.25" hidden="1" customHeight="1"/>
  </sheetData>
  <mergeCells count="2">
    <mergeCell ref="J3:L3"/>
    <mergeCell ref="N3:T3"/>
  </mergeCell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2020-11-30T08:14:25Z</dcterms:created>
  <dcterms:modified xsi:type="dcterms:W3CDTF">2021-04-16T00:25:20Z</dcterms:modified>
  <cp:category/>
  <cp:contentStatus/>
</cp:coreProperties>
</file>