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6DraftDecision\Web\TX Models\"/>
    </mc:Choice>
  </mc:AlternateContent>
  <bookViews>
    <workbookView xWindow="0" yWindow="0" windowWidth="20730" windowHeight="11760" activeTab="4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G22" i="13" l="1"/>
  <c r="L20" i="3" l="1"/>
  <c r="L22" i="13" l="1"/>
  <c r="M21" i="13"/>
  <c r="N21" i="13" s="1"/>
  <c r="O21" i="13" s="1"/>
  <c r="P21" i="13" s="1"/>
  <c r="H22" i="13" l="1"/>
  <c r="I22" i="13"/>
  <c r="J22" i="13"/>
  <c r="K22" i="13"/>
  <c r="H9" i="4" l="1"/>
  <c r="H8" i="4"/>
  <c r="H13" i="4" s="1"/>
  <c r="P19" i="13"/>
  <c r="G19" i="4" l="1"/>
  <c r="D25" i="4"/>
  <c r="D27" i="4" s="1"/>
  <c r="M14" i="13"/>
  <c r="M22" i="13" s="1"/>
  <c r="E9" i="4"/>
  <c r="M9" i="13"/>
  <c r="N9" i="13" s="1"/>
  <c r="O9" i="13" s="1"/>
  <c r="P9" i="13" s="1"/>
  <c r="J20" i="3"/>
  <c r="K20" i="3"/>
  <c r="K22" i="3" s="1"/>
  <c r="I20" i="3"/>
  <c r="I22" i="3" s="1"/>
  <c r="F7" i="13"/>
  <c r="C15" i="13"/>
  <c r="G7" i="13"/>
  <c r="G10" i="13" s="1"/>
  <c r="H10" i="13" s="1"/>
  <c r="I10" i="13" s="1"/>
  <c r="J10" i="13" s="1"/>
  <c r="K10" i="13" s="1"/>
  <c r="G15" i="13"/>
  <c r="C10" i="13"/>
  <c r="H7" i="13"/>
  <c r="H15" i="13"/>
  <c r="G8" i="4"/>
  <c r="G13" i="4" s="1"/>
  <c r="F8" i="4"/>
  <c r="F13" i="4" s="1"/>
  <c r="E8" i="4"/>
  <c r="E13" i="4" s="1"/>
  <c r="E18" i="4" s="1"/>
  <c r="F9" i="4"/>
  <c r="C43" i="4"/>
  <c r="B1" i="2"/>
  <c r="B1" i="10" s="1"/>
  <c r="I7" i="13"/>
  <c r="I15" i="13" s="1"/>
  <c r="J15" i="13" s="1"/>
  <c r="K15" i="13" s="1"/>
  <c r="J7" i="13"/>
  <c r="K7" i="13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6" i="3"/>
  <c r="I26" i="3"/>
  <c r="J26" i="3"/>
  <c r="K26" i="3"/>
  <c r="L26" i="3"/>
  <c r="L22" i="3"/>
  <c r="H11" i="4" s="1"/>
  <c r="J22" i="3"/>
  <c r="H22" i="3"/>
  <c r="J11" i="3"/>
  <c r="K11" i="3"/>
  <c r="L11" i="3"/>
  <c r="I11" i="3"/>
  <c r="E10" i="4" s="1"/>
  <c r="H11" i="3"/>
  <c r="F8" i="10"/>
  <c r="E8" i="10"/>
  <c r="C18" i="9"/>
  <c r="F10" i="4" l="1"/>
  <c r="G11" i="4"/>
  <c r="F11" i="4"/>
  <c r="E11" i="4"/>
  <c r="E12" i="4" s="1"/>
  <c r="G14" i="4" s="1"/>
  <c r="H29" i="3"/>
  <c r="H30" i="3" s="1"/>
  <c r="D26" i="4" s="1"/>
  <c r="D28" i="4" s="1"/>
  <c r="L10" i="13"/>
  <c r="I29" i="3" s="1"/>
  <c r="F19" i="4"/>
  <c r="E19" i="4" s="1"/>
  <c r="E25" i="4"/>
  <c r="E27" i="4" s="1"/>
  <c r="G10" i="4"/>
  <c r="H10" i="4"/>
  <c r="H12" i="4" s="1"/>
  <c r="H20" i="4" s="1"/>
  <c r="N14" i="13"/>
  <c r="L15" i="13"/>
  <c r="M15" i="13" s="1"/>
  <c r="B1" i="9"/>
  <c r="B1" i="5"/>
  <c r="B1" i="3"/>
  <c r="B1" i="13"/>
  <c r="B1" i="4"/>
  <c r="G12" i="4" l="1"/>
  <c r="F12" i="4"/>
  <c r="F20" i="4" s="1"/>
  <c r="N22" i="13"/>
  <c r="F25" i="4" s="1"/>
  <c r="F27" i="4" s="1"/>
  <c r="F14" i="4"/>
  <c r="F18" i="4" s="1"/>
  <c r="F21" i="4" s="1"/>
  <c r="H14" i="4"/>
  <c r="E20" i="4"/>
  <c r="G15" i="4"/>
  <c r="G18" i="4" s="1"/>
  <c r="G21" i="4" s="1"/>
  <c r="N15" i="13"/>
  <c r="M10" i="13"/>
  <c r="N10" i="13" s="1"/>
  <c r="K29" i="3" s="1"/>
  <c r="H15" i="4"/>
  <c r="H16" i="4"/>
  <c r="G20" i="4"/>
  <c r="E21" i="4"/>
  <c r="O14" i="13"/>
  <c r="O22" i="13" s="1"/>
  <c r="I30" i="3"/>
  <c r="E26" i="4" s="1"/>
  <c r="E28" i="4" s="1"/>
  <c r="J29" i="3"/>
  <c r="J30" i="3" s="1"/>
  <c r="F26" i="4" s="1"/>
  <c r="F28" i="4" l="1"/>
  <c r="H18" i="4"/>
  <c r="H21" i="4" s="1"/>
  <c r="D35" i="4" s="1"/>
  <c r="O10" i="13"/>
  <c r="P10" i="13" s="1"/>
  <c r="P14" i="13"/>
  <c r="G25" i="4"/>
  <c r="G27" i="4" s="1"/>
  <c r="K30" i="3"/>
  <c r="G26" i="4" s="1"/>
  <c r="O15" i="13"/>
  <c r="P22" i="13" l="1"/>
  <c r="H25" i="4" s="1"/>
  <c r="H27" i="4" s="1"/>
  <c r="P15" i="13"/>
  <c r="L29" i="3"/>
  <c r="L30" i="3" s="1"/>
  <c r="H26" i="4" s="1"/>
  <c r="G28" i="4"/>
  <c r="H28" i="4" l="1"/>
  <c r="D31" i="4" s="1"/>
  <c r="D34" i="4" s="1"/>
  <c r="D36" i="4" s="1"/>
  <c r="D41" i="4" s="1"/>
  <c r="D33" i="4" l="1"/>
  <c r="J8" i="10"/>
  <c r="E41" i="4"/>
  <c r="K8" i="10" l="1"/>
  <c r="F41" i="4"/>
  <c r="G41" i="4" l="1"/>
  <c r="L8" i="10"/>
  <c r="H41" i="4" l="1"/>
  <c r="M8" i="10"/>
  <c r="N8" i="10" l="1"/>
  <c r="O8" i="10" s="1"/>
  <c r="D43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$2013-14,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<sst xmlns="http://schemas.openxmlformats.org/spreadsheetml/2006/main" count="291" uniqueCount="134">
  <si>
    <t>NSP Name</t>
  </si>
  <si>
    <t>CESS to apply to this year's expenditure (Yes/No)</t>
  </si>
  <si>
    <t>Actual or estimate year</t>
  </si>
  <si>
    <t>Total capex allowance</t>
  </si>
  <si>
    <t>Basis</t>
  </si>
  <si>
    <t>Total excludable capex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</si>
  <si>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</si>
  <si>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</si>
  <si>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</si>
  <si>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</si>
  <si>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</si>
  <si>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</si>
  <si>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</si>
  <si>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</si>
  <si>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</si>
  <si>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</si>
  <si>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</si>
  <si>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</si>
  <si>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</si>
  <si>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</si>
  <si>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</si>
  <si>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</si>
  <si>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</si>
  <si>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</si>
  <si>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</si>
  <si>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</si>
  <si>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</si>
  <si>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</si>
  <si>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</si>
  <si>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</si>
  <si>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</si>
  <si>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</si>
  <si>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</si>
  <si>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</si>
  <si>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</si>
  <si>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</si>
  <si>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</si>
  <si>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</si>
  <si>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</si>
  <si>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</si>
  <si>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</si>
  <si>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</si>
  <si>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</si>
  <si>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</si>
  <si>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</si>
  <si>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</si>
  <si>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</si>
  <si>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</si>
  <si>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</si>
  <si>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</si>
  <si>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</si>
  <si>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</si>
  <si>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</si>
  <si>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</si>
  <si>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</si>
  <si>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</si>
  <si>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</si>
  <si>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</si>
  <si>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</si>
  <si>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</si>
  <si>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</si>
  <si>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</si>
  <si>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</si>
  <si>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</si>
  <si>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</si>
  <si>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</si>
  <si>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</si>
  <si>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</si>
  <si>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</si>
  <si>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</si>
  <si>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</si>
  <si>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</si>
  <si>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</si>
  <si>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</si>
  <si>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</si>
  <si>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</si>
  <si>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</si>
  <si>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</si>
  <si>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</si>
  <si>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</si>
  <si>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</si>
  <si>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</si>
  <si>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</si>
  <si>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</si>
  <si>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</si>
  <si>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</si>
  <si>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</si>
  <si>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</si>
  <si>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</si>
  <si>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</si>
  <si>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</si>
  <si>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</si>
  <si>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</si>
  <si>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</si>
  <si>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</si>
  <si>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</si>
  <si>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</si>
  <si>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</si>
  <si>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</si>
  <si>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</si>
  <si>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</si>
  <si>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</si>
  <si>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</si>
  <si>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</si>
  <si>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</si>
  <si>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</si>
  <si>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</si>
  <si>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</si>
  <si>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</si>
  <si>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</si>
  <si>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</si>
  <si>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</si>
  <si>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</si>
  <si>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</si>
  <si>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</si>
  <si>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</si>
  <si>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</si>
  <si>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</si>
  <si>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</si>
  <si>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</si>
  <si>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</si>
  <si>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</si>
  <si>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</si>
  <si>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</si>
  <si>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</si>
  <si>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</si>
  <si>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NCIPAP</t>
  </si>
  <si>
    <t>Discount factor (end of year)</t>
  </si>
  <si>
    <t>Discount rate (Real WACC)</t>
  </si>
  <si>
    <t>Discount rate (Nominal, fixed real WACC)</t>
  </si>
  <si>
    <t>Draft Decision</t>
  </si>
  <si>
    <t>TasNetworks Tx</t>
  </si>
  <si>
    <t>2019-24</t>
  </si>
  <si>
    <t>Forecast Real Vanilla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</si>
</sst>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</cellStyleXfs>
  <cellXfs count="210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164" fontId="24" fillId="3" borderId="6" xfId="0" applyNumberFormat="1" applyFont="1" applyFill="1" applyBorder="1" applyAlignment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3" borderId="0" xfId="265" applyFont="1" applyFill="1" applyBorder="1" applyAlignment="1" applyProtection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0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1" xfId="269"/>
    <cellStyle name="Comma 2" xfId="71"/>
    <cellStyle name="Comma 2 2" xfId="72"/>
    <cellStyle name="Comma 2 3" xfId="73"/>
    <cellStyle name="Comma 2 3 2" xfId="74"/>
    <cellStyle name="Comma 2 4" xfId="75"/>
    <cellStyle name="Comma 2 5" xfId="76"/>
    <cellStyle name="Comma 3" xfId="77"/>
    <cellStyle name="Comma 3 2" xfId="78"/>
    <cellStyle name="Comma 3 3" xfId="79"/>
    <cellStyle name="Comma 4" xfId="80"/>
    <cellStyle name="Comma 5" xfId="81"/>
    <cellStyle name="Comma 6" xfId="82"/>
    <cellStyle name="Comma 7" xfId="83"/>
    <cellStyle name="Comma 8" xfId="84"/>
    <cellStyle name="Comma 9" xfId="267"/>
    <cellStyle name="Comma0" xfId="85"/>
    <cellStyle name="Currency 11" xfId="86"/>
    <cellStyle name="Currency 11 2" xfId="87"/>
    <cellStyle name="Currency 2" xfId="88"/>
    <cellStyle name="Currency 2 2" xfId="89"/>
    <cellStyle name="Currency 3" xfId="90"/>
    <cellStyle name="Currency 3 2" xfId="91"/>
    <cellStyle name="Currency 4" xfId="92"/>
    <cellStyle name="Currency 4 2" xfId="93"/>
    <cellStyle name="Currency 5" xfId="94"/>
    <cellStyle name="Currency 5 2" xfId="284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3" xfId="296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numFmt numFmtId="2" formatCode="0.00"/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Tx 2019-24 Draft Decision - Capital expenditure sharing scheme model</v>
      </c>
      <c r="D1" s="4"/>
      <c r="E1" s="4"/>
    </row>
    <row r="2" spans="2:13" ht="18" customHeight="1">
      <c r="B2" s="34" t="s">
        <v>35</v>
      </c>
    </row>
    <row r="3" spans="2:13" ht="3" customHeight="1">
      <c r="C3" s="2"/>
    </row>
    <row r="4" spans="2:13" s="8" customFormat="1" ht="12.75" customHeight="1">
      <c r="C4" s="29" t="s">
        <v>36</v>
      </c>
      <c r="D4" s="7"/>
      <c r="E4" s="7"/>
    </row>
    <row r="5" spans="2:13" ht="11.25" customHeight="1"/>
    <row r="6" spans="2:13" ht="11.25" customHeight="1">
      <c r="C6" s="31" t="s">
        <v>37</v>
      </c>
      <c r="D6" s="31" t="s">
        <v>38</v>
      </c>
      <c r="E6" s="31"/>
    </row>
    <row r="7" spans="2:13" ht="11.25" customHeight="1">
      <c r="C7" s="145" t="s">
        <v>40</v>
      </c>
      <c r="D7" s="32" t="s">
        <v>51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110</v>
      </c>
      <c r="D8" s="32" t="s">
        <v>109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82</v>
      </c>
      <c r="D9" s="32" t="s">
        <v>43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85</v>
      </c>
      <c r="D10" s="32" t="s">
        <v>44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111</v>
      </c>
      <c r="D11" s="32" t="s">
        <v>81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112</v>
      </c>
      <c r="D12" s="32" t="s">
        <v>86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39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D12" sqref="D12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Tx 2019-24 Draft Decision - Capital expenditure sharing scheme model</v>
      </c>
      <c r="F1" s="138"/>
      <c r="G1" s="139" t="s">
        <v>52</v>
      </c>
      <c r="H1" s="140" t="s">
        <v>53</v>
      </c>
      <c r="I1" s="164" t="s">
        <v>41</v>
      </c>
      <c r="M1" s="142"/>
    </row>
    <row r="2" spans="1:13" s="11" customFormat="1" ht="18" customHeight="1">
      <c r="B2" s="13" t="s">
        <v>40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40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131</v>
      </c>
      <c r="J6" s="109"/>
      <c r="K6" s="109"/>
      <c r="L6" s="109"/>
      <c r="M6" s="109"/>
    </row>
    <row r="7" spans="1:13" s="97" customFormat="1" ht="11.25" customHeight="1">
      <c r="C7" s="96" t="s">
        <v>122</v>
      </c>
      <c r="D7" s="107" t="s">
        <v>130</v>
      </c>
      <c r="I7" s="109"/>
      <c r="J7" s="109"/>
      <c r="K7" s="109"/>
      <c r="L7" s="109"/>
    </row>
    <row r="8" spans="1:13" s="97" customFormat="1" ht="11.25" customHeight="1">
      <c r="C8" s="96" t="s">
        <v>123</v>
      </c>
      <c r="D8" s="107" t="s">
        <v>132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9" t="s">
        <v>121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93</v>
      </c>
      <c r="E11" s="98" t="s">
        <v>94</v>
      </c>
      <c r="F11" s="98" t="s">
        <v>95</v>
      </c>
      <c r="G11" s="98" t="s">
        <v>96</v>
      </c>
      <c r="H11" s="98" t="s">
        <v>97</v>
      </c>
      <c r="J11" s="109"/>
      <c r="K11" s="109"/>
      <c r="L11" s="109"/>
      <c r="M11" s="109"/>
    </row>
    <row r="12" spans="1:13" s="97" customFormat="1" ht="11.25" customHeight="1">
      <c r="C12" s="96" t="s">
        <v>91</v>
      </c>
      <c r="D12" s="107" t="s">
        <v>10</v>
      </c>
      <c r="E12" s="107" t="s">
        <v>73</v>
      </c>
      <c r="F12" s="107" t="s">
        <v>74</v>
      </c>
      <c r="G12" s="107" t="s">
        <v>75</v>
      </c>
      <c r="H12" s="107" t="s">
        <v>13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33</v>
      </c>
      <c r="E13" s="107" t="s">
        <v>9</v>
      </c>
      <c r="F13" s="107" t="s">
        <v>9</v>
      </c>
      <c r="G13" s="107" t="s">
        <v>9</v>
      </c>
      <c r="H13" s="107" t="s">
        <v>9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8</v>
      </c>
      <c r="E14" s="107" t="s">
        <v>8</v>
      </c>
      <c r="F14" s="107" t="s">
        <v>8</v>
      </c>
      <c r="G14" s="107" t="s">
        <v>32</v>
      </c>
      <c r="H14" s="107" t="s">
        <v>32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93</v>
      </c>
      <c r="E16" s="98" t="s">
        <v>94</v>
      </c>
      <c r="F16" s="98" t="s">
        <v>95</v>
      </c>
      <c r="G16" s="98" t="s">
        <v>96</v>
      </c>
      <c r="H16" s="98" t="s">
        <v>97</v>
      </c>
      <c r="J16" s="109"/>
      <c r="K16" s="109"/>
      <c r="L16" s="109"/>
      <c r="M16" s="109"/>
    </row>
    <row r="17" spans="1:13" s="97" customFormat="1" ht="11.25" customHeight="1">
      <c r="C17" s="96" t="s">
        <v>92</v>
      </c>
      <c r="D17" s="107" t="s">
        <v>76</v>
      </c>
      <c r="E17" s="107" t="s">
        <v>77</v>
      </c>
      <c r="F17" s="107" t="s">
        <v>78</v>
      </c>
      <c r="G17" s="107" t="s">
        <v>79</v>
      </c>
      <c r="H17" s="107" t="s">
        <v>80</v>
      </c>
      <c r="J17" s="109"/>
      <c r="K17" s="109"/>
      <c r="L17" s="109"/>
      <c r="M17" s="109"/>
    </row>
    <row r="18" spans="1:13" s="97" customFormat="1" ht="11.25" customHeight="1">
      <c r="C18" s="115" t="s">
        <v>98</v>
      </c>
      <c r="D18" s="107" t="s">
        <v>69</v>
      </c>
      <c r="E18" s="107" t="s">
        <v>70</v>
      </c>
      <c r="F18" s="107" t="s">
        <v>71</v>
      </c>
      <c r="G18" s="107" t="s">
        <v>72</v>
      </c>
      <c r="H18" s="107" t="s">
        <v>34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39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G20" sqref="G20:K20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Tx 2019-24 Draft Decision - Capital expenditure sharing scheme model</v>
      </c>
      <c r="D1" s="12"/>
      <c r="E1" s="12"/>
      <c r="F1" s="12"/>
      <c r="G1" s="138"/>
      <c r="H1" s="139" t="s">
        <v>52</v>
      </c>
      <c r="I1" s="140" t="s">
        <v>53</v>
      </c>
      <c r="J1" s="141" t="s">
        <v>41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124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48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7</v>
      </c>
      <c r="E6" s="102" t="s">
        <v>64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113</v>
      </c>
      <c r="D8" s="108" t="s">
        <v>118</v>
      </c>
      <c r="E8" s="108" t="s">
        <v>63</v>
      </c>
      <c r="F8" s="108"/>
      <c r="G8" s="171">
        <v>1.7175572519083943E-2</v>
      </c>
      <c r="H8" s="171">
        <v>1.6885553470919433E-2</v>
      </c>
      <c r="I8" s="171">
        <v>1.4760147601475962E-2</v>
      </c>
      <c r="J8" s="171">
        <v>2.4500000000000001E-2</v>
      </c>
      <c r="K8" s="171">
        <v>2.4500000000000001E-2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114</v>
      </c>
      <c r="D9" s="108" t="s">
        <v>118</v>
      </c>
      <c r="E9" s="108" t="s">
        <v>63</v>
      </c>
      <c r="F9" s="108"/>
      <c r="G9" s="174"/>
      <c r="H9" s="174"/>
      <c r="I9" s="174"/>
      <c r="J9" s="174"/>
      <c r="K9" s="174"/>
      <c r="L9" s="171">
        <v>2.4500000000000001E-2</v>
      </c>
      <c r="M9" s="189">
        <f t="shared" ref="M9:P9" si="0">L9</f>
        <v>2.4500000000000001E-2</v>
      </c>
      <c r="N9" s="189">
        <f t="shared" si="0"/>
        <v>2.4500000000000001E-2</v>
      </c>
      <c r="O9" s="189">
        <f t="shared" si="0"/>
        <v>2.4500000000000001E-2</v>
      </c>
      <c r="P9" s="189">
        <f t="shared" si="0"/>
        <v>2.4500000000000001E-2</v>
      </c>
    </row>
    <row r="10" spans="1:20" ht="11.25" customHeight="1">
      <c r="A10" s="11"/>
      <c r="B10" s="11"/>
      <c r="C10" s="184" t="str">
        <f>"CPI Index (base year "&amp;F7&amp;")"</f>
        <v>CPI Index (base year 2013-14)</v>
      </c>
      <c r="D10" s="108" t="s">
        <v>118</v>
      </c>
      <c r="E10" s="108" t="s">
        <v>35</v>
      </c>
      <c r="F10" s="182">
        <v>1</v>
      </c>
      <c r="G10" s="166">
        <f>IF(G7&lt;&gt;"",(F10*(1+G8)),"")</f>
        <v>1.0171755725190839</v>
      </c>
      <c r="H10" s="166">
        <f>IF(H7&lt;&gt;"",(G10*(1+H8)),"")</f>
        <v>1.0343511450381679</v>
      </c>
      <c r="I10" s="166">
        <f>IF(I7&lt;&gt;"",(H10*(1+I8)),"")</f>
        <v>1.0496183206106871</v>
      </c>
      <c r="J10" s="166">
        <f>IF(J7&lt;&gt;"",(I10*(1+J8)),"")</f>
        <v>1.0753339694656487</v>
      </c>
      <c r="K10" s="166">
        <f>IF(K7&lt;&gt;"",(J10*(1+K8)),"")</f>
        <v>1.1016796517175571</v>
      </c>
      <c r="L10" s="119">
        <f t="shared" ref="L10:P10" si="1">IF(L7&lt;&gt;"",(K10*(1+L9)),"")</f>
        <v>1.1286708031846373</v>
      </c>
      <c r="M10" s="119">
        <f t="shared" si="1"/>
        <v>1.1563232378626609</v>
      </c>
      <c r="N10" s="119">
        <f t="shared" si="1"/>
        <v>1.1846531571902961</v>
      </c>
      <c r="O10" s="119">
        <f t="shared" si="1"/>
        <v>1.2136771595414584</v>
      </c>
      <c r="P10" s="119">
        <f t="shared" si="1"/>
        <v>1.243412249950224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5"/>
      <c r="L11" s="175"/>
      <c r="M11" s="175"/>
      <c r="N11" s="175"/>
      <c r="O11" s="175"/>
      <c r="P11" s="175"/>
    </row>
    <row r="12" spans="1:20" ht="11.25" customHeight="1">
      <c r="A12" s="11"/>
      <c r="B12" s="11"/>
      <c r="C12" s="110"/>
      <c r="D12" s="108"/>
      <c r="E12" s="108"/>
      <c r="F12" s="108"/>
      <c r="G12" s="170"/>
      <c r="H12" s="170"/>
      <c r="I12" s="170"/>
      <c r="J12" s="170"/>
      <c r="K12" s="24"/>
      <c r="L12" s="24"/>
      <c r="M12" s="24"/>
    </row>
    <row r="13" spans="1:20" ht="11.25" customHeight="1">
      <c r="A13" s="11"/>
      <c r="B13" s="11"/>
      <c r="C13" s="110" t="s">
        <v>113</v>
      </c>
      <c r="D13" s="108" t="s">
        <v>57</v>
      </c>
      <c r="E13" s="108" t="s">
        <v>63</v>
      </c>
      <c r="F13" s="108"/>
      <c r="G13" s="171">
        <v>1.7175572519083901E-2</v>
      </c>
      <c r="H13" s="171">
        <v>1.6885553470919398E-2</v>
      </c>
      <c r="I13" s="171">
        <v>1.4760147601476E-2</v>
      </c>
      <c r="J13" s="171">
        <v>1.9090909090909047E-2</v>
      </c>
      <c r="K13" s="171">
        <v>2.4500000000000001E-2</v>
      </c>
      <c r="L13" s="170"/>
      <c r="M13" s="170"/>
      <c r="N13" s="170"/>
      <c r="O13" s="170"/>
      <c r="P13" s="170"/>
    </row>
    <row r="14" spans="1:20" ht="11.25" customHeight="1">
      <c r="A14" s="11"/>
      <c r="B14" s="11"/>
      <c r="C14" s="110" t="s">
        <v>114</v>
      </c>
      <c r="D14" s="108" t="s">
        <v>57</v>
      </c>
      <c r="E14" s="108" t="s">
        <v>63</v>
      </c>
      <c r="F14" s="108"/>
      <c r="G14" s="118"/>
      <c r="H14" s="118"/>
      <c r="I14" s="118"/>
      <c r="J14" s="118"/>
      <c r="K14" s="118"/>
      <c r="L14" s="171">
        <v>2.44995114800401E-2</v>
      </c>
      <c r="M14" s="189">
        <f t="shared" ref="M14:P14" si="2">L14</f>
        <v>2.44995114800401E-2</v>
      </c>
      <c r="N14" s="189">
        <f t="shared" si="2"/>
        <v>2.44995114800401E-2</v>
      </c>
      <c r="O14" s="189">
        <f t="shared" si="2"/>
        <v>2.44995114800401E-2</v>
      </c>
      <c r="P14" s="189">
        <f t="shared" si="2"/>
        <v>2.44995114800401E-2</v>
      </c>
    </row>
    <row r="15" spans="1:20" ht="11.25" customHeight="1">
      <c r="A15" s="11"/>
      <c r="B15" s="11"/>
      <c r="C15" s="184" t="str">
        <f>"CPI Index (base year "&amp;F7&amp;")"</f>
        <v>CPI Index (base year 2013-14)</v>
      </c>
      <c r="D15" s="108" t="s">
        <v>57</v>
      </c>
      <c r="E15" s="108" t="s">
        <v>35</v>
      </c>
      <c r="F15" s="182">
        <v>1</v>
      </c>
      <c r="G15" s="166">
        <f>IF(G7&lt;&gt;"",(F15*(1+G13)),"")</f>
        <v>1.0171755725190839</v>
      </c>
      <c r="H15" s="166">
        <f>IF(H7&lt;&gt;"",(G15*(1+H13)),"")</f>
        <v>1.0343511450381679</v>
      </c>
      <c r="I15" s="166">
        <f>IF(I7&lt;&gt;"",(H15*(1+I13)),"")</f>
        <v>1.0496183206106871</v>
      </c>
      <c r="J15" s="166">
        <f>IF(J7&lt;&gt;"",(I15*(1+J13)),"")</f>
        <v>1.0696564885496183</v>
      </c>
      <c r="K15" s="119">
        <f>IF(K7&lt;&gt;"",(J15*(1+K13)),"")</f>
        <v>1.0958630725190839</v>
      </c>
      <c r="L15" s="119">
        <f t="shared" ref="L15:P15" si="3">IF(L7&lt;&gt;"",(K15*(1+L14)),"")</f>
        <v>1.1227111824448173</v>
      </c>
      <c r="M15" s="119">
        <f t="shared" si="3"/>
        <v>1.1502170579478934</v>
      </c>
      <c r="N15" s="119">
        <f t="shared" si="3"/>
        <v>1.1783968139636258</v>
      </c>
      <c r="O15" s="119">
        <f t="shared" si="3"/>
        <v>1.2072669602353705</v>
      </c>
      <c r="P15" s="119">
        <f t="shared" si="3"/>
        <v>1.2368444109871302</v>
      </c>
    </row>
    <row r="16" spans="1:20" s="173" customFormat="1" ht="11.25" customHeight="1">
      <c r="A16" s="2"/>
      <c r="B16" s="2"/>
      <c r="C16" s="110"/>
      <c r="D16" s="172"/>
      <c r="E16" s="172"/>
      <c r="F16" s="172"/>
      <c r="G16" s="118"/>
      <c r="H16" s="118"/>
      <c r="I16" s="118"/>
      <c r="J16" s="118"/>
      <c r="K16" s="176"/>
      <c r="L16" s="176"/>
      <c r="M16" s="176"/>
      <c r="N16" s="176"/>
      <c r="O16" s="176"/>
      <c r="P16" s="176"/>
    </row>
    <row r="17" spans="1:16" s="111" customFormat="1" ht="12.75" customHeight="1">
      <c r="C17" s="29" t="s">
        <v>99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7</v>
      </c>
      <c r="E19" s="102" t="s">
        <v>64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12</v>
      </c>
      <c r="D20" s="108" t="s">
        <v>57</v>
      </c>
      <c r="E20" s="108" t="s">
        <v>63</v>
      </c>
      <c r="F20" s="109"/>
      <c r="G20" s="171">
        <v>4.0060981703148979E-2</v>
      </c>
      <c r="H20" s="171">
        <v>3.8975810501340025E-2</v>
      </c>
      <c r="I20" s="171">
        <v>3.8623648288910184E-2</v>
      </c>
      <c r="J20" s="171">
        <v>3.8053491249255833E-2</v>
      </c>
      <c r="K20" s="171">
        <v>3.7163816133052086E-2</v>
      </c>
      <c r="L20" s="118"/>
      <c r="M20" s="118"/>
      <c r="N20" s="118"/>
      <c r="O20" s="118"/>
      <c r="P20" s="118"/>
    </row>
    <row r="21" spans="1:16" ht="11.25" customHeight="1">
      <c r="C21" s="207" t="s">
        <v>133</v>
      </c>
      <c r="D21" s="108" t="s">
        <v>57</v>
      </c>
      <c r="E21" s="108" t="s">
        <v>63</v>
      </c>
      <c r="F21" s="109"/>
      <c r="G21" s="109"/>
      <c r="H21" s="109"/>
      <c r="I21" s="109"/>
      <c r="J21" s="109"/>
      <c r="K21" s="109"/>
      <c r="L21" s="171">
        <v>3.2411456128271524E-2</v>
      </c>
      <c r="M21" s="189">
        <f t="shared" ref="M21" si="4">L21</f>
        <v>3.2411456128271524E-2</v>
      </c>
      <c r="N21" s="189">
        <f t="shared" ref="N21" si="5">M21</f>
        <v>3.2411456128271524E-2</v>
      </c>
      <c r="O21" s="189">
        <f t="shared" ref="O21" si="6">N21</f>
        <v>3.2411456128271524E-2</v>
      </c>
      <c r="P21" s="189">
        <f t="shared" ref="P21" si="7">O21</f>
        <v>3.2411456128271524E-2</v>
      </c>
    </row>
    <row r="22" spans="1:16" ht="11.25" customHeight="1">
      <c r="C22" s="110" t="s">
        <v>100</v>
      </c>
      <c r="D22" s="108" t="s">
        <v>88</v>
      </c>
      <c r="E22" s="108" t="s">
        <v>63</v>
      </c>
      <c r="F22" s="109"/>
      <c r="G22" s="190">
        <f>IF(AND(G13&lt;&gt;"",G20&lt;&gt;""),((1+G20)*(1+G13)-1),"")</f>
        <v>5.7924624518660872E-2</v>
      </c>
      <c r="H22" s="190">
        <f>IF(AND(H13&lt;&gt;"",H20&lt;&gt;""),((1+H20)*(1+H13)-1),"")</f>
        <v>5.6519492104552205E-2</v>
      </c>
      <c r="I22" s="190">
        <f>IF(AND(I13&lt;&gt;"",I20&lt;&gt;""),((1+I20)*(1+I13)-1),"")</f>
        <v>5.3953886640037974E-2</v>
      </c>
      <c r="J22" s="190">
        <f>IF(AND(J13&lt;&gt;"",J20&lt;&gt;""),((1+J20)*(1+J13)-1),"")</f>
        <v>5.787087608219621E-2</v>
      </c>
      <c r="K22" s="190">
        <f>IF(AND(K13&lt;&gt;"",K20&lt;&gt;""),((1+K20)*(1+K13)-1),"")</f>
        <v>6.2574329628311887E-2</v>
      </c>
      <c r="L22" s="190">
        <f>IF(AND(L14&lt;&gt;"",L21&lt;&gt;""),((1+L21)*(1+L14)-1),"")</f>
        <v>5.7705032449811178E-2</v>
      </c>
      <c r="M22" s="190">
        <f t="shared" ref="M22:P22" si="8">IF(AND(M14&lt;&gt;"",M21&lt;&gt;""),((1+M21)*(1+M14)-1),"")</f>
        <v>5.7705032449811178E-2</v>
      </c>
      <c r="N22" s="190">
        <f t="shared" si="8"/>
        <v>5.7705032449811178E-2</v>
      </c>
      <c r="O22" s="190">
        <f t="shared" si="8"/>
        <v>5.7705032449811178E-2</v>
      </c>
      <c r="P22" s="190">
        <f t="shared" si="8"/>
        <v>5.7705032449811178E-2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39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8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TasNetworks Tx 2019-24 Draft Decision - Capital expenditure sharing scheme model</v>
      </c>
      <c r="D1" s="12"/>
      <c r="E1" s="12"/>
      <c r="F1" s="12"/>
      <c r="G1" s="12"/>
      <c r="H1" s="138"/>
      <c r="I1" s="139" t="s">
        <v>52</v>
      </c>
      <c r="J1" s="140" t="s">
        <v>53</v>
      </c>
      <c r="K1" s="141" t="s">
        <v>41</v>
      </c>
      <c r="L1" s="208"/>
    </row>
    <row r="2" spans="2:14" ht="18" customHeight="1">
      <c r="B2" s="13" t="s">
        <v>42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45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7</v>
      </c>
      <c r="E6" s="102" t="s">
        <v>64</v>
      </c>
      <c r="F6" s="102" t="s">
        <v>4</v>
      </c>
      <c r="G6" s="90"/>
      <c r="H6" s="117" t="s">
        <v>89</v>
      </c>
      <c r="I6" s="117" t="s">
        <v>73</v>
      </c>
      <c r="J6" s="117" t="s">
        <v>74</v>
      </c>
      <c r="K6" s="117" t="s">
        <v>75</v>
      </c>
      <c r="L6" s="117" t="s">
        <v>13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3</v>
      </c>
      <c r="D8" s="108" t="s">
        <v>57</v>
      </c>
      <c r="E8" s="108" t="s">
        <v>62</v>
      </c>
      <c r="F8" s="108" t="s">
        <v>34</v>
      </c>
      <c r="G8" s="95"/>
      <c r="H8" s="103"/>
      <c r="I8" s="103">
        <v>64.460028653400514</v>
      </c>
      <c r="J8" s="103">
        <v>52.767585291093425</v>
      </c>
      <c r="K8" s="103">
        <v>44.529873305910328</v>
      </c>
      <c r="L8" s="103">
        <v>34.011446751889338</v>
      </c>
      <c r="M8" s="2"/>
      <c r="N8" s="2"/>
    </row>
    <row r="9" spans="2:14" ht="10.5" customHeight="1">
      <c r="C9" s="110" t="s">
        <v>125</v>
      </c>
      <c r="D9" s="108" t="s">
        <v>57</v>
      </c>
      <c r="E9" s="108" t="s">
        <v>62</v>
      </c>
      <c r="F9" s="108" t="s">
        <v>34</v>
      </c>
      <c r="G9" s="95"/>
      <c r="H9" s="103"/>
      <c r="I9" s="103">
        <v>0</v>
      </c>
      <c r="J9" s="103">
        <v>0</v>
      </c>
      <c r="K9" s="103">
        <v>0</v>
      </c>
      <c r="L9" s="103">
        <v>0</v>
      </c>
      <c r="M9" s="2"/>
      <c r="N9" s="2"/>
    </row>
    <row r="10" spans="2:14" s="95" customFormat="1" ht="10.5" customHeight="1">
      <c r="H10" s="93"/>
      <c r="I10" s="93"/>
      <c r="J10" s="93"/>
      <c r="K10" s="93"/>
      <c r="L10" s="93"/>
      <c r="M10" s="143"/>
      <c r="N10" s="143"/>
    </row>
    <row r="11" spans="2:14" ht="10.5" customHeight="1">
      <c r="C11" s="105" t="s">
        <v>6</v>
      </c>
      <c r="D11" s="104" t="s">
        <v>88</v>
      </c>
      <c r="E11" s="106" t="s">
        <v>62</v>
      </c>
      <c r="F11" s="106" t="s">
        <v>34</v>
      </c>
      <c r="G11" s="95"/>
      <c r="H11" s="92">
        <f>IF(H6="", "", H8-H9)</f>
        <v>0</v>
      </c>
      <c r="I11" s="92">
        <f>IF(I6="", "", I8-I9)</f>
        <v>64.460028653400514</v>
      </c>
      <c r="J11" s="92">
        <f t="shared" ref="J11:L11" si="0">IF(J6="", "", J8-J9)</f>
        <v>52.767585291093425</v>
      </c>
      <c r="K11" s="92">
        <f t="shared" si="0"/>
        <v>44.529873305910328</v>
      </c>
      <c r="L11" s="92">
        <f t="shared" si="0"/>
        <v>34.011446751889338</v>
      </c>
      <c r="M11" s="2"/>
      <c r="N11" s="2"/>
    </row>
    <row r="12" spans="2:14" ht="10.5" customHeight="1">
      <c r="D12" s="95"/>
      <c r="E12" s="95"/>
      <c r="F12" s="95"/>
      <c r="G12" s="95"/>
      <c r="M12" s="99"/>
      <c r="N12" s="99"/>
    </row>
    <row r="13" spans="2:14" s="8" customFormat="1" ht="12.75" customHeight="1">
      <c r="B13" s="101" t="s">
        <v>46</v>
      </c>
      <c r="D13" s="18"/>
      <c r="E13" s="18"/>
      <c r="F13" s="18"/>
      <c r="G13" s="18"/>
      <c r="M13" s="144"/>
      <c r="N13" s="144"/>
    </row>
    <row r="14" spans="2:14" s="2" customFormat="1" ht="10.5" customHeight="1">
      <c r="B14" s="100"/>
      <c r="D14" s="21"/>
      <c r="E14" s="21"/>
      <c r="F14" s="21"/>
      <c r="G14" s="21"/>
    </row>
    <row r="15" spans="2:14" s="2" customFormat="1" ht="10.5" customHeight="1">
      <c r="B15" s="100"/>
      <c r="C15" s="95"/>
      <c r="D15" s="102" t="s">
        <v>7</v>
      </c>
      <c r="E15" s="102" t="s">
        <v>64</v>
      </c>
      <c r="F15" s="102" t="s">
        <v>4</v>
      </c>
      <c r="G15" s="90"/>
      <c r="H15" s="117" t="s">
        <v>89</v>
      </c>
      <c r="I15" s="117" t="s">
        <v>73</v>
      </c>
      <c r="J15" s="117" t="s">
        <v>74</v>
      </c>
      <c r="K15" s="117" t="s">
        <v>75</v>
      </c>
      <c r="L15" s="117" t="s">
        <v>13</v>
      </c>
      <c r="M15" s="143"/>
      <c r="N15" s="143"/>
    </row>
    <row r="16" spans="2:14" s="2" customFormat="1" ht="10.5" customHeight="1">
      <c r="B16" s="100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43"/>
      <c r="N16" s="143"/>
    </row>
    <row r="17" spans="1:14" s="2" customFormat="1" ht="10.5" customHeight="1">
      <c r="B17" s="100"/>
      <c r="C17" s="110" t="s">
        <v>108</v>
      </c>
      <c r="D17" s="108" t="s">
        <v>57</v>
      </c>
      <c r="E17" s="108" t="s">
        <v>62</v>
      </c>
      <c r="F17" s="108" t="s">
        <v>66</v>
      </c>
      <c r="G17" s="95"/>
      <c r="H17" s="103"/>
      <c r="I17" s="103">
        <v>24.776004571110096</v>
      </c>
      <c r="J17" s="103">
        <v>50.978875840978738</v>
      </c>
      <c r="K17" s="103">
        <v>52.926279901196096</v>
      </c>
      <c r="L17" s="103">
        <v>54.615376600268739</v>
      </c>
    </row>
    <row r="18" spans="1:14" s="2" customFormat="1" ht="10.5" customHeight="1">
      <c r="B18" s="100"/>
      <c r="C18" s="185" t="s">
        <v>125</v>
      </c>
      <c r="D18" s="108" t="s">
        <v>57</v>
      </c>
      <c r="E18" s="186" t="s">
        <v>62</v>
      </c>
      <c r="F18" s="186" t="s">
        <v>66</v>
      </c>
      <c r="G18" s="187"/>
      <c r="H18" s="188"/>
      <c r="I18" s="188">
        <v>5.9999999999999995E-4</v>
      </c>
      <c r="J18" s="188">
        <v>1.478723E-2</v>
      </c>
      <c r="K18" s="188">
        <v>0</v>
      </c>
      <c r="L18" s="188">
        <v>0</v>
      </c>
    </row>
    <row r="19" spans="1:14" s="2" customFormat="1" ht="10.5" customHeight="1">
      <c r="B19" s="100"/>
      <c r="C19" s="185" t="s">
        <v>126</v>
      </c>
      <c r="D19" s="108" t="s">
        <v>57</v>
      </c>
      <c r="E19" s="186" t="s">
        <v>62</v>
      </c>
      <c r="F19" s="186" t="s">
        <v>66</v>
      </c>
      <c r="G19" s="187"/>
      <c r="H19" s="188"/>
      <c r="I19" s="188">
        <v>1.2198878800000001</v>
      </c>
      <c r="J19" s="188">
        <v>2.0921146100000003</v>
      </c>
      <c r="K19" s="188">
        <v>1.229865318156703</v>
      </c>
      <c r="L19" s="188">
        <v>0</v>
      </c>
    </row>
    <row r="20" spans="1:14" s="2" customFormat="1" ht="10.5" customHeight="1">
      <c r="B20" s="100"/>
      <c r="C20" s="110" t="s">
        <v>5</v>
      </c>
      <c r="D20" s="108" t="s">
        <v>57</v>
      </c>
      <c r="E20" s="108" t="s">
        <v>62</v>
      </c>
      <c r="F20" s="108" t="s">
        <v>66</v>
      </c>
      <c r="G20" s="95"/>
      <c r="H20" s="177"/>
      <c r="I20" s="177">
        <f>I18+I19</f>
        <v>1.2204878800000001</v>
      </c>
      <c r="J20" s="177">
        <f t="shared" ref="J20:L20" si="1">J18+J19</f>
        <v>2.1069018400000004</v>
      </c>
      <c r="K20" s="177">
        <f t="shared" si="1"/>
        <v>1.229865318156703</v>
      </c>
      <c r="L20" s="177">
        <f t="shared" si="1"/>
        <v>0</v>
      </c>
    </row>
    <row r="21" spans="1:14" s="2" customFormat="1" ht="10.5" customHeight="1">
      <c r="B21" s="100"/>
      <c r="C21" s="95"/>
      <c r="D21" s="95"/>
      <c r="E21" s="95"/>
      <c r="F21" s="95"/>
      <c r="G21" s="95"/>
      <c r="H21" s="93"/>
      <c r="I21" s="93"/>
      <c r="J21" s="93"/>
      <c r="K21" s="93"/>
      <c r="L21" s="93"/>
      <c r="M21" s="143"/>
      <c r="N21" s="143"/>
    </row>
    <row r="22" spans="1:14" s="2" customFormat="1" ht="10.5" customHeight="1">
      <c r="B22" s="100"/>
      <c r="C22" s="105" t="s">
        <v>107</v>
      </c>
      <c r="D22" s="104" t="s">
        <v>88</v>
      </c>
      <c r="E22" s="106" t="s">
        <v>62</v>
      </c>
      <c r="F22" s="106" t="s">
        <v>66</v>
      </c>
      <c r="G22" s="95"/>
      <c r="H22" s="92">
        <f>IF(H15="", "", H17-H20)</f>
        <v>0</v>
      </c>
      <c r="I22" s="92">
        <f>IF(I15="", "", I17-I20)</f>
        <v>23.555516691110096</v>
      </c>
      <c r="J22" s="92">
        <f>IF(J15="", "", J17-J20)</f>
        <v>48.871974000978739</v>
      </c>
      <c r="K22" s="92">
        <f>IF(K15="", "", K17-K20)</f>
        <v>51.696414583039392</v>
      </c>
      <c r="L22" s="92">
        <f>IF(L15="", "", L17-L20)</f>
        <v>54.615376600268739</v>
      </c>
    </row>
    <row r="23" spans="1:14" s="2" customFormat="1" ht="10.5" customHeight="1">
      <c r="B23" s="100"/>
      <c r="D23" s="21"/>
      <c r="E23" s="21"/>
      <c r="F23" s="21"/>
      <c r="G23" s="21"/>
      <c r="M23" s="99"/>
      <c r="N23" s="99"/>
    </row>
    <row r="24" spans="1:14" s="8" customFormat="1" ht="12.75" customHeight="1">
      <c r="B24" s="101" t="s">
        <v>47</v>
      </c>
      <c r="D24" s="18"/>
      <c r="E24" s="18"/>
      <c r="F24" s="18"/>
      <c r="G24" s="18"/>
      <c r="M24" s="144"/>
      <c r="N24" s="144"/>
    </row>
    <row r="25" spans="1:14" ht="10.5" customHeight="1">
      <c r="D25" s="95"/>
      <c r="E25" s="95"/>
      <c r="F25" s="95"/>
      <c r="G25" s="95"/>
      <c r="M25" s="2"/>
      <c r="N25" s="2"/>
    </row>
    <row r="26" spans="1:14" ht="10.5" customHeight="1">
      <c r="D26" s="95"/>
      <c r="E26" s="95"/>
      <c r="F26" s="95"/>
      <c r="G26" s="95"/>
      <c r="H26" s="94" t="str">
        <f>'Input | General'!D17</f>
        <v>2019-20</v>
      </c>
      <c r="I26" s="94" t="str">
        <f>'Input | General'!E17</f>
        <v>2020-21</v>
      </c>
      <c r="J26" s="94" t="str">
        <f>'Input | General'!F17</f>
        <v>2021-22</v>
      </c>
      <c r="K26" s="94" t="str">
        <f>'Input | General'!G17</f>
        <v>2022-23</v>
      </c>
      <c r="L26" s="94" t="str">
        <f>'Input | General'!H17</f>
        <v>2023-24</v>
      </c>
      <c r="M26" s="2"/>
      <c r="N26" s="2"/>
    </row>
    <row r="27" spans="1:14" s="17" customFormat="1" ht="10.5" customHeight="1">
      <c r="C27" s="16"/>
      <c r="D27" s="95"/>
      <c r="E27" s="95"/>
      <c r="F27" s="95"/>
      <c r="G27" s="95"/>
      <c r="M27" s="19"/>
      <c r="N27" s="19"/>
    </row>
    <row r="28" spans="1:14" ht="11.25" customHeight="1">
      <c r="C28" s="114" t="s">
        <v>117</v>
      </c>
      <c r="D28" s="91" t="s">
        <v>118</v>
      </c>
      <c r="E28" s="108" t="s">
        <v>62</v>
      </c>
      <c r="F28" s="108" t="s">
        <v>66</v>
      </c>
      <c r="G28" s="95"/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2"/>
      <c r="N28" s="2"/>
    </row>
    <row r="29" spans="1:14" ht="11.25" customHeight="1">
      <c r="C29" s="114" t="s">
        <v>117</v>
      </c>
      <c r="D29" s="91" t="s">
        <v>88</v>
      </c>
      <c r="E29" s="108" t="s">
        <v>62</v>
      </c>
      <c r="F29" s="108" t="s">
        <v>34</v>
      </c>
      <c r="G29" s="95"/>
      <c r="H29" s="200">
        <f>IF(H28&lt;&gt;"",H28/('Input | Inflation and Disc Rate'!K10*(1+'Input | Inflation and Disc Rate'!L9)^0.5),"")</f>
        <v>0</v>
      </c>
      <c r="I29" s="200">
        <f>IF(I28&lt;&gt;"",I28/('Input | Inflation and Disc Rate'!L10*(1+'Input | Inflation and Disc Rate'!M9)^0.5),"")</f>
        <v>0</v>
      </c>
      <c r="J29" s="200">
        <f>IF(J28&lt;&gt;"",J28/('Input | Inflation and Disc Rate'!M10*(1+'Input | Inflation and Disc Rate'!N9)^0.5),"")</f>
        <v>0</v>
      </c>
      <c r="K29" s="200">
        <f>IF(K28&lt;&gt;"",K28/('Input | Inflation and Disc Rate'!N10*(1+'Input | Inflation and Disc Rate'!O9)^0.5),"")</f>
        <v>0</v>
      </c>
      <c r="L29" s="200">
        <f>IF(L28&lt;&gt;"",L28/('Input | Inflation and Disc Rate'!O10*(1+'Input | Inflation and Disc Rate'!P9)^0.5),"")</f>
        <v>0</v>
      </c>
      <c r="M29" s="2"/>
      <c r="N29" s="2"/>
    </row>
    <row r="30" spans="1:14" ht="11.25" customHeight="1">
      <c r="C30" s="114" t="s">
        <v>117</v>
      </c>
      <c r="D30" s="91" t="s">
        <v>57</v>
      </c>
      <c r="E30" s="108" t="s">
        <v>62</v>
      </c>
      <c r="F30" s="108" t="s">
        <v>66</v>
      </c>
      <c r="G30" s="95"/>
      <c r="H30" s="200">
        <f>IF(H28&lt;&gt;"",H29*'Input | Inflation and Disc Rate'!K15*(1+'Input | Inflation and Disc Rate'!L14)^0.5,"")</f>
        <v>0</v>
      </c>
      <c r="I30" s="200">
        <f>IF(I28&lt;&gt;"",I29*'Input | Inflation and Disc Rate'!L15*(1+'Input | Inflation and Disc Rate'!M14)^0.5,"")</f>
        <v>0</v>
      </c>
      <c r="J30" s="200">
        <f>IF(J28&lt;&gt;"",J29*'Input | Inflation and Disc Rate'!M15*(1+'Input | Inflation and Disc Rate'!N14)^0.5,"")</f>
        <v>0</v>
      </c>
      <c r="K30" s="200">
        <f>IF(K28&lt;&gt;"",K29*'Input | Inflation and Disc Rate'!N15*(1+'Input | Inflation and Disc Rate'!O14)^0.5,"")</f>
        <v>0</v>
      </c>
      <c r="L30" s="200">
        <f>IF(L28&lt;&gt;"",L29*'Input | Inflation and Disc Rate'!O15*(1+'Input | Inflation and Disc Rate'!P14)^0.5,"")</f>
        <v>0</v>
      </c>
      <c r="M30" s="2"/>
      <c r="N30" s="2"/>
    </row>
    <row r="31" spans="1:14" ht="10.5" customHeight="1">
      <c r="D31" s="95"/>
      <c r="E31" s="95"/>
      <c r="F31" s="95"/>
      <c r="G31" s="95"/>
      <c r="M31" s="99"/>
      <c r="N31" s="99"/>
    </row>
    <row r="32" spans="1:14" s="88" customFormat="1" ht="12.75" customHeight="1">
      <c r="A32" s="8"/>
      <c r="B32" s="29" t="s">
        <v>39</v>
      </c>
      <c r="D32" s="89"/>
      <c r="E32" s="89"/>
      <c r="F32" s="89"/>
    </row>
    <row r="33" ht="10.5" hidden="1" customHeight="1"/>
    <row r="34" ht="18" hidden="1" customHeight="1"/>
    <row r="35" s="2" customFormat="1" ht="18" hidden="1" customHeight="1"/>
    <row r="36" ht="18" hidden="1" customHeight="1"/>
    <row r="37" ht="18" hidden="1" customHeight="1"/>
    <row r="38" s="17" customFormat="1" ht="18" hidden="1" customHeight="1"/>
    <row r="39" ht="18" hidden="1" customHeight="1"/>
    <row r="40" ht="18" hidden="1" customHeight="1"/>
    <row r="41" ht="18" hidden="1" customHeight="1"/>
    <row r="42" ht="18" hidden="1" customHeight="1"/>
    <row r="43" s="17" customFormat="1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ht="18" hidden="1" customHeight="1"/>
    <row r="50" spans="3:14" s="2" customFormat="1" ht="18" hidden="1" customHeight="1"/>
    <row r="51" spans="3:14" ht="18" hidden="1" customHeight="1"/>
    <row r="52" spans="3:14" ht="18" hidden="1" customHeight="1"/>
    <row r="53" spans="3:14" ht="18" hidden="1" customHeight="1"/>
    <row r="54" spans="3:14" s="17" customFormat="1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>
      <c r="C62" s="21"/>
      <c r="D62" s="21"/>
      <c r="E62" s="21"/>
      <c r="F62" s="21"/>
      <c r="G62" s="21"/>
      <c r="H62" s="2"/>
      <c r="I62" s="2"/>
      <c r="J62" s="2"/>
      <c r="K62" s="2"/>
      <c r="L62" s="2"/>
      <c r="M62" s="2"/>
      <c r="N62" s="2"/>
    </row>
    <row r="63" spans="3:14" ht="18" hidden="1" customHeight="1">
      <c r="C63" s="21"/>
      <c r="D63" s="21"/>
      <c r="E63" s="21"/>
      <c r="F63" s="21"/>
      <c r="G63" s="21"/>
      <c r="H63" s="19"/>
      <c r="I63" s="19"/>
      <c r="J63" s="19"/>
      <c r="K63" s="19"/>
      <c r="L63" s="19"/>
      <c r="M63" s="19"/>
      <c r="N63" s="19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conditionalFormatting sqref="H8:H9">
    <cfRule type="expression" dxfId="12" priority="19">
      <formula>IF($H$6&lt;&gt;"","FALSE","TRUE")</formula>
    </cfRule>
  </conditionalFormatting>
  <conditionalFormatting sqref="H17 H20">
    <cfRule type="expression" dxfId="11" priority="14">
      <formula>IF($H$6&lt;&gt;"","FALSE","TRUE")</formula>
    </cfRule>
  </conditionalFormatting>
  <conditionalFormatting sqref="I20:L20">
    <cfRule type="expression" dxfId="10" priority="13">
      <formula>IF($I$6&lt;&gt;"","FALSE","TRUE")</formula>
    </cfRule>
  </conditionalFormatting>
  <conditionalFormatting sqref="H18:H19">
    <cfRule type="expression" dxfId="9" priority="9">
      <formula>IF($H$6&lt;&gt;"","FALSE","TRUE")</formula>
    </cfRule>
  </conditionalFormatting>
  <conditionalFormatting sqref="I8:L9">
    <cfRule type="expression" dxfId="8" priority="5">
      <formula>IF($H$6&lt;&gt;"","FALSE","TRUE")</formula>
    </cfRule>
  </conditionalFormatting>
  <conditionalFormatting sqref="I17:L17">
    <cfRule type="expression" dxfId="7" priority="4">
      <formula>IF($H$6&lt;&gt;"","FALSE","TRUE")</formula>
    </cfRule>
  </conditionalFormatting>
  <conditionalFormatting sqref="I18:L19">
    <cfRule type="expression" dxfId="6" priority="3">
      <formula>IF($H$6&lt;&gt;"","FALSE","TRUE")</formula>
    </cfRule>
  </conditionalFormatting>
  <conditionalFormatting sqref="H28">
    <cfRule type="expression" dxfId="5" priority="2">
      <formula>IF($H$6&lt;&gt;"","FALSE","TRUE")</formula>
    </cfRule>
  </conditionalFormatting>
  <conditionalFormatting sqref="I28:L28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1 E22">
      <formula1>$G$7:$G$9</formula1>
    </dataValidation>
    <dataValidation type="list" allowBlank="1" showInputMessage="1" showErrorMessage="1" sqref="F22">
      <formula1>$G$25:$G$45</formula1>
    </dataValidation>
    <dataValidation type="list" allowBlank="1" showInputMessage="1" showErrorMessage="1" sqref="F28:F30 F17 F20">
      <formula1>$G$20:$G$38</formula1>
    </dataValidation>
    <dataValidation type="list" allowBlank="1" showInputMessage="1" showErrorMessage="1" sqref="E28:E30 E17:E20">
      <formula1>$E$7:$E$9</formula1>
    </dataValidation>
    <dataValidation type="list" allowBlank="1" showInputMessage="1" showErrorMessage="1" sqref="F18:F19">
      <formula1>$G$20:$G$36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F11 H6:L6 H15:L15</xm:sqref>
        </x14:dataValidation>
        <x14:dataValidation type="list" allowBlank="1" showInputMessage="1" showErrorMessage="1">
          <x14:formula1>
            <xm:f>'Lookup | Tables'!$E$7:$E$9</xm:f>
          </x14:formula1>
          <xm:sqref>E8:E9</xm:sqref>
        </x14:dataValidation>
        <x14:dataValidation type="list" allowBlank="1" showInputMessage="1" showErrorMessage="1">
          <x14:formula1>
            <xm:f>'Lookup | Tables'!$E$20:$E$37</xm:f>
          </x14:formula1>
          <xm:sqref>F8:F9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tabSelected="1" zoomScaleNormal="100" workbookViewId="0">
      <selection activeCell="L39" sqref="L39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TasNetworks Tx 2019-24 Draft Decision - Capital expenditure sharing scheme model</v>
      </c>
      <c r="J1" s="165"/>
      <c r="K1" s="139" t="s">
        <v>52</v>
      </c>
      <c r="L1" s="140" t="s">
        <v>53</v>
      </c>
      <c r="M1" s="141" t="s">
        <v>41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49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60" t="s">
        <v>14</v>
      </c>
      <c r="D6" s="161"/>
      <c r="E6" s="162"/>
      <c r="F6" s="162"/>
      <c r="G6" s="162"/>
      <c r="H6" s="162"/>
      <c r="I6" s="129"/>
    </row>
    <row r="7" spans="2:23" ht="11.25" customHeight="1">
      <c r="C7" s="159" t="s">
        <v>11</v>
      </c>
      <c r="D7" s="117" t="s">
        <v>89</v>
      </c>
      <c r="E7" s="117" t="s">
        <v>73</v>
      </c>
      <c r="F7" s="117" t="s">
        <v>74</v>
      </c>
      <c r="G7" s="117" t="s">
        <v>75</v>
      </c>
      <c r="H7" s="194" t="s">
        <v>13</v>
      </c>
      <c r="I7" s="129"/>
    </row>
    <row r="8" spans="2:23" ht="11.25" customHeight="1">
      <c r="C8" s="191" t="s">
        <v>128</v>
      </c>
      <c r="D8" s="192"/>
      <c r="E8" s="193">
        <f>'Input | Inflation and Disc Rate'!H20</f>
        <v>3.8975810501340025E-2</v>
      </c>
      <c r="F8" s="193">
        <f>'Input | Inflation and Disc Rate'!I20</f>
        <v>3.8623648288910184E-2</v>
      </c>
      <c r="G8" s="193">
        <f>'Input | Inflation and Disc Rate'!J20</f>
        <v>3.8053491249255833E-2</v>
      </c>
      <c r="H8" s="199">
        <f>'Input | Inflation and Disc Rate'!K20</f>
        <v>3.7163816133052086E-2</v>
      </c>
      <c r="I8" s="129"/>
      <c r="J8" s="109"/>
      <c r="K8" s="109"/>
    </row>
    <row r="9" spans="2:23" ht="11.25" customHeight="1">
      <c r="C9" s="197" t="s">
        <v>129</v>
      </c>
      <c r="D9" s="192"/>
      <c r="E9" s="193">
        <f>'Input | Inflation and Disc Rate'!H22</f>
        <v>5.6519492104552205E-2</v>
      </c>
      <c r="F9" s="193">
        <f>'Input | Inflation and Disc Rate'!I22</f>
        <v>5.3953886640037974E-2</v>
      </c>
      <c r="G9" s="193">
        <f>'Input | Inflation and Disc Rate'!J22</f>
        <v>5.787087608219621E-2</v>
      </c>
      <c r="H9" s="199">
        <f>'Input | Inflation and Disc Rate'!K22</f>
        <v>6.2574329628311887E-2</v>
      </c>
      <c r="I9" s="129"/>
      <c r="J9" s="109"/>
      <c r="K9" s="109"/>
    </row>
    <row r="10" spans="2:23" ht="11.25" customHeight="1">
      <c r="C10" s="155" t="s">
        <v>16</v>
      </c>
      <c r="D10" s="131"/>
      <c r="E10" s="148">
        <f>'Input | Reported Capex'!I$11*'Input | Inflation and Disc Rate'!H$15*(1+'Input | Inflation and Disc Rate'!H$20)^0.5</f>
        <v>67.961227122652275</v>
      </c>
      <c r="F10" s="148">
        <f>'Input | Reported Capex'!J$11*'Input | Inflation and Disc Rate'!I$15*(1+'Input | Inflation and Disc Rate'!I$20)^0.5</f>
        <v>56.445292341800538</v>
      </c>
      <c r="G10" s="148">
        <f>'Input | Reported Capex'!K$11*'Input | Inflation and Disc Rate'!J$15*(1+'Input | Inflation and Disc Rate'!J$20)^0.5</f>
        <v>48.529482050283427</v>
      </c>
      <c r="H10" s="151">
        <f>'Input | Reported Capex'!L$11*'Input | Inflation and Disc Rate'!K$15*(1+'Input | Inflation and Disc Rate'!K$20)^0.5</f>
        <v>37.958153452633461</v>
      </c>
      <c r="I10" s="129"/>
      <c r="J10" s="109"/>
      <c r="K10" s="109"/>
      <c r="N10" s="183"/>
    </row>
    <row r="11" spans="2:23" ht="11.25" customHeight="1">
      <c r="C11" s="155" t="s">
        <v>18</v>
      </c>
      <c r="D11" s="131"/>
      <c r="E11" s="148">
        <f>'Input | Reported Capex'!I22*(1+E$9)^0.5</f>
        <v>24.212040511540735</v>
      </c>
      <c r="F11" s="148">
        <f>'Input | Reported Capex'!J22*(1+F$9)^0.5</f>
        <v>50.17307120250215</v>
      </c>
      <c r="G11" s="148">
        <f>'Input | Reported Capex'!K22*(1+G$9)^0.5</f>
        <v>53.171235765821343</v>
      </c>
      <c r="H11" s="151">
        <f>'Input | Reported Capex'!L22*(1+H$9)^0.5</f>
        <v>56.29821075846494</v>
      </c>
      <c r="I11" s="129"/>
      <c r="J11" s="109"/>
      <c r="K11" s="109"/>
    </row>
    <row r="12" spans="2:23" s="19" customFormat="1" ht="11.25" customHeight="1">
      <c r="C12" s="155" t="s">
        <v>20</v>
      </c>
      <c r="D12" s="121"/>
      <c r="E12" s="195">
        <f>(E10-E11)</f>
        <v>43.74918661111154</v>
      </c>
      <c r="F12" s="195">
        <f t="shared" ref="F12:H12" si="0">(F10-F11)</f>
        <v>6.272221139298388</v>
      </c>
      <c r="G12" s="195">
        <f t="shared" si="0"/>
        <v>-4.6417537155379165</v>
      </c>
      <c r="H12" s="201">
        <f t="shared" si="0"/>
        <v>-18.340057305831479</v>
      </c>
      <c r="I12" s="129"/>
      <c r="J12" s="109"/>
      <c r="K12" s="109"/>
    </row>
    <row r="13" spans="2:23" ht="11.25" customHeight="1">
      <c r="C13" s="155" t="s">
        <v>102</v>
      </c>
      <c r="D13" s="121"/>
      <c r="E13" s="195">
        <f>$D$12*$E$8</f>
        <v>0</v>
      </c>
      <c r="F13" s="195">
        <f>$D$12*$F$8*(1+'Input | Inflation and Disc Rate'!H13)</f>
        <v>0</v>
      </c>
      <c r="G13" s="195">
        <f>$D$12*$G$8*(1+'Input | Inflation and Disc Rate'!H13)*(1+'Input | Inflation and Disc Rate'!I13)</f>
        <v>0</v>
      </c>
      <c r="H13" s="201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5" t="s">
        <v>103</v>
      </c>
      <c r="D14" s="121"/>
      <c r="E14" s="196"/>
      <c r="F14" s="195">
        <f>$E$12*F$8</f>
        <v>1.6897531965934705</v>
      </c>
      <c r="G14" s="195">
        <f>$E$12*G$8*(1+'Input | Inflation and Disc Rate'!I13)</f>
        <v>1.6893821207147535</v>
      </c>
      <c r="H14" s="201">
        <f>$E$12*H$8*(1+'Input | Inflation and Disc Rate'!I13)*(1+'Input | Inflation and Disc Rate'!J13)</f>
        <v>1.681382860862944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5" t="s">
        <v>104</v>
      </c>
      <c r="D15" s="121"/>
      <c r="E15" s="195"/>
      <c r="F15" s="195"/>
      <c r="G15" s="195">
        <f>$F$12*G$8</f>
        <v>0.23867991223768867</v>
      </c>
      <c r="H15" s="201">
        <f>$F$12*$H$8*(1+'Input | Inflation and Disc Rate'!J13)</f>
        <v>0.23754975783627436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5" t="s">
        <v>105</v>
      </c>
      <c r="D16" s="121"/>
      <c r="E16" s="195"/>
      <c r="F16" s="195"/>
      <c r="G16" s="195"/>
      <c r="H16" s="201">
        <f>$G$12*$H$8</f>
        <v>-0.17250528161916248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5" t="s">
        <v>106</v>
      </c>
      <c r="D17" s="121"/>
      <c r="E17" s="195"/>
      <c r="F17" s="195"/>
      <c r="G17" s="195"/>
      <c r="H17" s="201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6" t="s">
        <v>22</v>
      </c>
      <c r="D18" s="122"/>
      <c r="E18" s="202">
        <f>SUM(E13:E17)</f>
        <v>0</v>
      </c>
      <c r="F18" s="202">
        <f t="shared" ref="F18:H18" si="1">SUM(F13:F17)</f>
        <v>1.6897531965934705</v>
      </c>
      <c r="G18" s="202">
        <f t="shared" si="1"/>
        <v>1.9280620329524421</v>
      </c>
      <c r="H18" s="203">
        <f t="shared" si="1"/>
        <v>1.7464273370800558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7" t="s">
        <v>127</v>
      </c>
      <c r="D19" s="169"/>
      <c r="E19" s="202">
        <f>F19*(1+F$9)</f>
        <v>1.1847141901033877</v>
      </c>
      <c r="F19" s="202">
        <f>G19*(1+G$9)</f>
        <v>1.1240664369863547</v>
      </c>
      <c r="G19" s="202">
        <f>H19*(1+H$9)</f>
        <v>1.0625743296283119</v>
      </c>
      <c r="H19" s="204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5" t="s">
        <v>23</v>
      </c>
      <c r="D20" s="121"/>
      <c r="E20" s="195">
        <f>E12*E19</f>
        <v>51.830282183664984</v>
      </c>
      <c r="F20" s="195">
        <f t="shared" ref="F20:H20" si="2">F12*F19</f>
        <v>7.050393268041633</v>
      </c>
      <c r="G20" s="195">
        <f t="shared" si="2"/>
        <v>-4.9322083425874279</v>
      </c>
      <c r="H20" s="201">
        <f t="shared" si="2"/>
        <v>-18.340057305831479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6" t="s">
        <v>24</v>
      </c>
      <c r="D21" s="122"/>
      <c r="E21" s="202">
        <f>E18*E19</f>
        <v>0</v>
      </c>
      <c r="F21" s="202">
        <f t="shared" ref="F21:H21" si="3">F18*F19</f>
        <v>1.8993948550811257</v>
      </c>
      <c r="G21" s="202">
        <f t="shared" si="3"/>
        <v>2.0487092221462415</v>
      </c>
      <c r="H21" s="203">
        <f t="shared" si="3"/>
        <v>1.7464273370800558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60" t="s">
        <v>15</v>
      </c>
      <c r="D23" s="161"/>
      <c r="E23" s="162"/>
      <c r="F23" s="162"/>
      <c r="G23" s="162"/>
      <c r="H23" s="162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4" t="s">
        <v>11</v>
      </c>
      <c r="D24" s="149" t="str">
        <f>'Input | General'!$D$17</f>
        <v>2019-20</v>
      </c>
      <c r="E24" s="149" t="str">
        <f>'Input | General'!$E$17</f>
        <v>2020-21</v>
      </c>
      <c r="F24" s="149" t="str">
        <f>'Input | General'!$F$17</f>
        <v>2021-22</v>
      </c>
      <c r="G24" s="149" t="str">
        <f>'Input | General'!$G$17</f>
        <v>2022-23</v>
      </c>
      <c r="H24" s="150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8" t="s">
        <v>101</v>
      </c>
      <c r="D25" s="205">
        <f>'Input | Inflation and Disc Rate'!L$22</f>
        <v>5.7705032449811178E-2</v>
      </c>
      <c r="E25" s="205">
        <f>'Input | Inflation and Disc Rate'!M$22</f>
        <v>5.7705032449811178E-2</v>
      </c>
      <c r="F25" s="205">
        <f>'Input | Inflation and Disc Rate'!N$22</f>
        <v>5.7705032449811178E-2</v>
      </c>
      <c r="G25" s="205">
        <f>'Input | Inflation and Disc Rate'!O$22</f>
        <v>5.7705032449811178E-2</v>
      </c>
      <c r="H25" s="206">
        <f>'Input | Inflation and Disc Rate'!P$22</f>
        <v>5.7705032449811178E-2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9" t="s">
        <v>17</v>
      </c>
      <c r="D26" s="148">
        <f>'Input | Reported Capex'!H30</f>
        <v>0</v>
      </c>
      <c r="E26" s="148">
        <f>'Input | Reported Capex'!I30</f>
        <v>0</v>
      </c>
      <c r="F26" s="148">
        <f>'Input | Reported Capex'!J30</f>
        <v>0</v>
      </c>
      <c r="G26" s="148">
        <f>'Input | Reported Capex'!K30</f>
        <v>0</v>
      </c>
      <c r="H26" s="151">
        <f>'Input | Reported Capex'!L30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9" t="s">
        <v>19</v>
      </c>
      <c r="D27" s="167">
        <f>1/(1+D25)^(0.5)</f>
        <v>0.97233902067666922</v>
      </c>
      <c r="E27" s="167">
        <f>1/((1+E25)^(0.5)*(1+D25))</f>
        <v>0.91929128712244013</v>
      </c>
      <c r="F27" s="167">
        <f>1/((1+F25)^(0.5)*(1+E25)*(1+D25))</f>
        <v>0.86913766968964579</v>
      </c>
      <c r="G27" s="167">
        <f>1/((1+G25)^(0.5)*(1+F25)*(1+E25)*(1+D25))</f>
        <v>0.82172027458032071</v>
      </c>
      <c r="H27" s="168">
        <f>1/((1+H25)^(0.5)*(1+G25)*(1+F25)*(1+E25)*(1+D25))</f>
        <v>0.77688982218141411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4" t="s">
        <v>21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3" t="s">
        <v>25</v>
      </c>
      <c r="D30" s="163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5" t="s">
        <v>26</v>
      </c>
      <c r="D31" s="135">
        <f>SUM(D20:H20)-SUM(D28:H28)</f>
        <v>35.608409803287707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5" t="s">
        <v>27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5" t="s">
        <v>28</v>
      </c>
      <c r="D33" s="135">
        <f>(1-D32)*D31</f>
        <v>24.925886862301393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5" t="s">
        <v>29</v>
      </c>
      <c r="D34" s="135">
        <f>D32*D31</f>
        <v>10.682522940986312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5" t="s">
        <v>30</v>
      </c>
      <c r="D35" s="135">
        <f>SUM(D21:H21)</f>
        <v>5.6945314143074235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6" t="s">
        <v>31</v>
      </c>
      <c r="D36" s="136">
        <f>D34-D35</f>
        <v>4.9879915266788881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50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147">
        <f>-PMT('Input | Inflation and Disc Rate'!L21,5,'Calc | CESS Revenue Increments'!$D$36)</f>
        <v>1.0966609465906236</v>
      </c>
      <c r="E41" s="147">
        <f>D41</f>
        <v>1.0966609465906236</v>
      </c>
      <c r="F41" s="147">
        <f t="shared" ref="F41:H41" si="5">E41</f>
        <v>1.0966609465906236</v>
      </c>
      <c r="G41" s="147">
        <f t="shared" si="5"/>
        <v>1.0966609465906236</v>
      </c>
      <c r="H41" s="198">
        <f t="shared" si="5"/>
        <v>1.0966609465906236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152">
        <f>SUM(D41:H41)</f>
        <v>5.4833047329531182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39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TasNetworks Tx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52</v>
      </c>
      <c r="L1" s="140" t="s">
        <v>53</v>
      </c>
      <c r="M1" s="141" t="s">
        <v>41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111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09"/>
      <c r="K3" s="209"/>
      <c r="L3" s="209"/>
      <c r="M3" s="67"/>
      <c r="N3" s="209"/>
      <c r="O3" s="209"/>
      <c r="P3" s="209"/>
      <c r="Q3" s="209"/>
      <c r="R3" s="209"/>
      <c r="S3" s="209"/>
      <c r="T3" s="209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83</v>
      </c>
      <c r="C4" s="69"/>
      <c r="D4" s="69"/>
      <c r="E4" s="71" t="s">
        <v>62</v>
      </c>
      <c r="F4" s="71" t="s">
        <v>13</v>
      </c>
      <c r="G4" s="72"/>
      <c r="H4" s="72"/>
      <c r="I4" s="72"/>
      <c r="J4" s="73" t="s">
        <v>84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87</v>
      </c>
      <c r="D6" s="81" t="s">
        <v>7</v>
      </c>
      <c r="E6" s="81" t="s">
        <v>64</v>
      </c>
      <c r="F6" s="81" t="s">
        <v>4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119</v>
      </c>
      <c r="P6" s="180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115</v>
      </c>
      <c r="D8" s="33" t="s">
        <v>85</v>
      </c>
      <c r="E8" s="78" t="str">
        <f>$E$4</f>
        <v>$millions</v>
      </c>
      <c r="F8" s="78" t="str">
        <f>$F$4</f>
        <v>2018-19</v>
      </c>
      <c r="H8" s="81"/>
      <c r="I8" s="81"/>
      <c r="J8" s="177">
        <f>'Calc | CESS Revenue Increments'!D41</f>
        <v>1.0966609465906236</v>
      </c>
      <c r="K8" s="177">
        <f>'Calc | CESS Revenue Increments'!E41</f>
        <v>1.0966609465906236</v>
      </c>
      <c r="L8" s="177">
        <f>'Calc | CESS Revenue Increments'!F41</f>
        <v>1.0966609465906236</v>
      </c>
      <c r="M8" s="177">
        <f>'Calc | CESS Revenue Increments'!G41</f>
        <v>1.0966609465906236</v>
      </c>
      <c r="N8" s="177">
        <f>'Calc | CESS Revenue Increments'!H41</f>
        <v>1.0966609465906236</v>
      </c>
      <c r="O8" s="86">
        <f>SUM(J8:N8)</f>
        <v>5.4833047329531182</v>
      </c>
      <c r="P8" s="181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8"/>
      <c r="K10" s="178"/>
      <c r="L10" s="178"/>
      <c r="M10" s="178"/>
      <c r="N10" s="178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39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TasNetworks Tx 2019-24 Draft Decision - Capital expenditure sharing scheme model</v>
      </c>
      <c r="C1" s="36"/>
      <c r="D1" s="37"/>
      <c r="E1" s="37"/>
      <c r="F1" s="37"/>
      <c r="G1" s="37"/>
      <c r="H1" s="138"/>
      <c r="I1" s="139" t="s">
        <v>52</v>
      </c>
      <c r="J1" s="140" t="s">
        <v>53</v>
      </c>
      <c r="K1" s="141" t="s">
        <v>41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112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54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120</v>
      </c>
      <c r="D6" s="55"/>
      <c r="E6" s="55" t="s">
        <v>55</v>
      </c>
      <c r="F6" s="55"/>
    </row>
    <row r="7" spans="1:46">
      <c r="C7" s="56" t="s">
        <v>56</v>
      </c>
      <c r="D7" s="53"/>
      <c r="E7" s="57" t="s">
        <v>58</v>
      </c>
    </row>
    <row r="8" spans="1:46">
      <c r="C8" s="56" t="s">
        <v>59</v>
      </c>
      <c r="D8" s="53"/>
      <c r="E8" s="57" t="s">
        <v>60</v>
      </c>
    </row>
    <row r="9" spans="1:46">
      <c r="C9" s="56" t="s">
        <v>61</v>
      </c>
      <c r="D9" s="53"/>
      <c r="E9" s="57" t="s">
        <v>62</v>
      </c>
      <c r="S9" s="58"/>
    </row>
    <row r="10" spans="1:46">
      <c r="D10" s="51"/>
      <c r="E10" s="51"/>
    </row>
    <row r="11" spans="1:46">
      <c r="C11" s="56" t="s">
        <v>8</v>
      </c>
      <c r="D11" s="53"/>
      <c r="E11" s="57" t="s">
        <v>8</v>
      </c>
    </row>
    <row r="12" spans="1:46">
      <c r="C12" s="56" t="s">
        <v>32</v>
      </c>
      <c r="D12" s="53"/>
      <c r="E12" s="57" t="s">
        <v>32</v>
      </c>
    </row>
    <row r="13" spans="1:46">
      <c r="C13" s="56" t="s">
        <v>90</v>
      </c>
      <c r="D13" s="53"/>
      <c r="E13" s="57" t="s">
        <v>89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65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55</v>
      </c>
      <c r="F18" s="55"/>
    </row>
    <row r="19" spans="3:19">
      <c r="C19" s="56" t="s">
        <v>90</v>
      </c>
      <c r="D19" s="55"/>
      <c r="E19" s="57" t="s">
        <v>89</v>
      </c>
      <c r="F19" s="55"/>
    </row>
    <row r="20" spans="3:19">
      <c r="C20" s="56" t="s">
        <v>66</v>
      </c>
      <c r="D20" s="53"/>
      <c r="E20" s="57" t="s">
        <v>66</v>
      </c>
      <c r="F20" s="55"/>
    </row>
    <row r="21" spans="3:19">
      <c r="C21" s="56" t="s">
        <v>67</v>
      </c>
      <c r="D21" s="53"/>
      <c r="E21" s="57" t="s">
        <v>67</v>
      </c>
      <c r="F21" s="55"/>
    </row>
    <row r="22" spans="3:19">
      <c r="C22" s="56" t="s">
        <v>68</v>
      </c>
      <c r="D22" s="53"/>
      <c r="E22" s="57" t="s">
        <v>68</v>
      </c>
      <c r="F22" s="55"/>
    </row>
    <row r="23" spans="3:19">
      <c r="C23" s="56" t="s">
        <v>69</v>
      </c>
      <c r="D23" s="53"/>
      <c r="E23" s="57" t="s">
        <v>69</v>
      </c>
    </row>
    <row r="24" spans="3:19">
      <c r="C24" s="56" t="s">
        <v>70</v>
      </c>
      <c r="D24" s="53"/>
      <c r="E24" s="57" t="s">
        <v>70</v>
      </c>
    </row>
    <row r="25" spans="3:19">
      <c r="C25" s="56" t="s">
        <v>71</v>
      </c>
      <c r="D25" s="53"/>
      <c r="E25" s="57" t="s">
        <v>71</v>
      </c>
      <c r="S25" s="58"/>
    </row>
    <row r="26" spans="3:19">
      <c r="C26" s="56" t="s">
        <v>72</v>
      </c>
      <c r="D26" s="53"/>
      <c r="E26" s="57" t="s">
        <v>72</v>
      </c>
      <c r="S26" s="58"/>
    </row>
    <row r="27" spans="3:19">
      <c r="C27" s="56" t="s">
        <v>34</v>
      </c>
      <c r="D27" s="53"/>
      <c r="E27" s="57" t="s">
        <v>34</v>
      </c>
      <c r="S27" s="58"/>
    </row>
    <row r="28" spans="3:19">
      <c r="C28" s="56" t="s">
        <v>10</v>
      </c>
      <c r="D28" s="53"/>
      <c r="E28" s="57" t="s">
        <v>10</v>
      </c>
      <c r="S28" s="58"/>
    </row>
    <row r="29" spans="3:19">
      <c r="C29" s="56" t="s">
        <v>73</v>
      </c>
      <c r="D29" s="53"/>
      <c r="E29" s="57" t="s">
        <v>73</v>
      </c>
      <c r="S29" s="58"/>
    </row>
    <row r="30" spans="3:19">
      <c r="C30" s="56" t="s">
        <v>74</v>
      </c>
      <c r="D30" s="53"/>
      <c r="E30" s="57" t="s">
        <v>74</v>
      </c>
      <c r="S30" s="58"/>
    </row>
    <row r="31" spans="3:19">
      <c r="C31" s="56" t="s">
        <v>75</v>
      </c>
      <c r="D31" s="53"/>
      <c r="E31" s="57" t="s">
        <v>75</v>
      </c>
      <c r="S31" s="58"/>
    </row>
    <row r="32" spans="3:19">
      <c r="C32" s="56" t="s">
        <v>13</v>
      </c>
      <c r="D32" s="53"/>
      <c r="E32" s="57" t="s">
        <v>13</v>
      </c>
      <c r="S32" s="58"/>
    </row>
    <row r="33" spans="1:46">
      <c r="C33" s="56" t="s">
        <v>76</v>
      </c>
      <c r="D33" s="53"/>
      <c r="E33" s="57" t="s">
        <v>76</v>
      </c>
      <c r="S33" s="58"/>
    </row>
    <row r="34" spans="1:46">
      <c r="C34" s="56" t="s">
        <v>77</v>
      </c>
      <c r="D34" s="53"/>
      <c r="E34" s="57" t="s">
        <v>77</v>
      </c>
      <c r="S34" s="58"/>
    </row>
    <row r="35" spans="1:46">
      <c r="C35" s="56" t="s">
        <v>78</v>
      </c>
      <c r="D35" s="53"/>
      <c r="E35" s="57" t="s">
        <v>78</v>
      </c>
      <c r="S35" s="58"/>
    </row>
    <row r="36" spans="1:46">
      <c r="C36" s="56" t="s">
        <v>79</v>
      </c>
      <c r="D36" s="53"/>
      <c r="E36" s="57" t="s">
        <v>79</v>
      </c>
      <c r="S36" s="58"/>
    </row>
    <row r="37" spans="1:46">
      <c r="C37" s="56" t="s">
        <v>80</v>
      </c>
      <c r="D37" s="53"/>
      <c r="E37" s="57" t="s">
        <v>80</v>
      </c>
      <c r="S37" s="58"/>
    </row>
    <row r="38" spans="1:46"/>
    <row r="39" spans="1:46" s="50" customFormat="1" ht="12.75">
      <c r="A39" s="40"/>
      <c r="B39" s="41" t="s">
        <v>39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Goyal, Riya</dc:creator>
  <cp:lastModifiedBy>Mafi, Toa</cp:lastModifiedBy>
  <dcterms:created xsi:type="dcterms:W3CDTF">2017-09-22T02:00:05Z</dcterms:created>
  <dcterms:modified xsi:type="dcterms:W3CDTF">2018-09-25T05:56:00Z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