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ch\AppData\Roaming\iManage\Work\Recent\65402 - 2022 Rate of return Instrument\"/>
    </mc:Choice>
  </mc:AlternateContent>
  <xr:revisionPtr revIDLastSave="0" documentId="13_ncr:1_{D5A384B0-FB99-458A-B2D4-0D14B1097AC9}" xr6:coauthVersionLast="47" xr6:coauthVersionMax="47" xr10:uidLastSave="{00000000-0000-0000-0000-000000000000}"/>
  <bookViews>
    <workbookView xWindow="-28920" yWindow="-1095" windowWidth="29040" windowHeight="15840" tabRatio="791" activeTab="2" xr2:uid="{00000000-000D-0000-FFFF-FFFF00000000}"/>
  </bookViews>
  <sheets>
    <sheet name="Consolidated underlying data" sheetId="4" r:id="rId1"/>
    <sheet name="BHM Rm, MRP Calculations " sheetId="5" r:id="rId2"/>
    <sheet name="Display Tables" sheetId="7" r:id="rId3"/>
  </sheets>
  <externalReferences>
    <externalReference r:id="rId4"/>
    <externalReference r:id="rId5"/>
  </externalReferences>
  <definedNames>
    <definedName name="__FDS_HYPERLINK_TOGGLE_STATE__" hidden="1">"ON"</definedName>
    <definedName name="_Ref417570520" localSheetId="2">'Display Tables'!#REF!</definedName>
    <definedName name="_Ref432619921" localSheetId="2">'Display Tables'!#REF!</definedName>
    <definedName name="_Ref443916669" localSheetId="2">'Display Tables'!$B$16</definedName>
    <definedName name="A2325806K">#REF!,#REF!</definedName>
    <definedName name="A2325806K_Data">#REF!</definedName>
    <definedName name="A2325806K_Latest">#REF!</definedName>
    <definedName name="A2325807L">#REF!,#REF!</definedName>
    <definedName name="A2325807L_Data">#REF!</definedName>
    <definedName name="A2325807L_Latest">#REF!</definedName>
    <definedName name="A2325810A">#REF!,#REF!</definedName>
    <definedName name="A2325810A_Data">#REF!</definedName>
    <definedName name="A2325810A_Latest">#REF!</definedName>
    <definedName name="A2325811C">#REF!,#REF!</definedName>
    <definedName name="A2325811C_Data">#REF!</definedName>
    <definedName name="A2325811C_Latest">#REF!</definedName>
    <definedName name="A2325812F">#REF!,#REF!</definedName>
    <definedName name="A2325812F_Data">#REF!</definedName>
    <definedName name="A2325812F_Latest">#REF!</definedName>
    <definedName name="A2325815L">#REF!,#REF!</definedName>
    <definedName name="A2325815L_Data">#REF!</definedName>
    <definedName name="A2325815L_Latest">#REF!</definedName>
    <definedName name="A2325816R">#REF!,#REF!</definedName>
    <definedName name="A2325816R_Data">#REF!</definedName>
    <definedName name="A2325816R_Latest">#REF!</definedName>
    <definedName name="A2325817T">#REF!,#REF!</definedName>
    <definedName name="A2325817T_Data">#REF!</definedName>
    <definedName name="A2325817T_Latest">#REF!</definedName>
    <definedName name="A2325820F">#REF!,#REF!</definedName>
    <definedName name="A2325820F_Data">#REF!</definedName>
    <definedName name="A2325820F_Latest">#REF!</definedName>
    <definedName name="A2325821J">#REF!,#REF!</definedName>
    <definedName name="A2325821J_Data">#REF!</definedName>
    <definedName name="A2325821J_Latest">#REF!</definedName>
    <definedName name="A2325822K">#REF!,#REF!</definedName>
    <definedName name="A2325822K_Data">#REF!</definedName>
    <definedName name="A2325822K_Latest">#REF!</definedName>
    <definedName name="A2325825T">#REF!,#REF!</definedName>
    <definedName name="A2325825T_Data">#REF!</definedName>
    <definedName name="A2325825T_Latest">#REF!</definedName>
    <definedName name="A2325826V">#REF!,#REF!</definedName>
    <definedName name="A2325826V_Data">#REF!</definedName>
    <definedName name="A2325826V_Latest">#REF!</definedName>
    <definedName name="A2325827W">#REF!,#REF!</definedName>
    <definedName name="A2325827W_Data">#REF!</definedName>
    <definedName name="A2325827W_Latest">#REF!</definedName>
    <definedName name="A2325830K">#REF!,#REF!</definedName>
    <definedName name="A2325830K_Data">#REF!</definedName>
    <definedName name="A2325830K_Latest">#REF!</definedName>
    <definedName name="A2325831L">#REF!,#REF!</definedName>
    <definedName name="A2325831L_Data">#REF!</definedName>
    <definedName name="A2325831L_Latest">#REF!</definedName>
    <definedName name="A2325832R">#REF!,#REF!</definedName>
    <definedName name="A2325832R_Data">#REF!</definedName>
    <definedName name="A2325832R_Latest">#REF!</definedName>
    <definedName name="A2325835W">#REF!,#REF!</definedName>
    <definedName name="A2325835W_Data">#REF!</definedName>
    <definedName name="A2325835W_Latest">#REF!</definedName>
    <definedName name="A2325836X">#REF!,#REF!</definedName>
    <definedName name="A2325836X_Data">#REF!</definedName>
    <definedName name="A2325836X_Latest">#REF!</definedName>
    <definedName name="A2325837A">#REF!,#REF!</definedName>
    <definedName name="A2325837A_Data">#REF!</definedName>
    <definedName name="A2325837A_Latest">#REF!</definedName>
    <definedName name="A2325840R">#REF!,#REF!</definedName>
    <definedName name="A2325840R_Data">#REF!</definedName>
    <definedName name="A2325840R_Latest">#REF!</definedName>
    <definedName name="A2325841T">#REF!,#REF!</definedName>
    <definedName name="A2325841T_Data">#REF!</definedName>
    <definedName name="A2325841T_Latest">#REF!</definedName>
    <definedName name="A2325842V">#REF!,#REF!</definedName>
    <definedName name="A2325842V_Data">#REF!</definedName>
    <definedName name="A2325842V_Latest">#REF!</definedName>
    <definedName name="A2325845A">#REF!,#REF!</definedName>
    <definedName name="A2325845A_Data">#REF!</definedName>
    <definedName name="A2325845A_Latest">#REF!</definedName>
    <definedName name="A2325846C">#REF!,#REF!</definedName>
    <definedName name="A2325846C_Data">#REF!</definedName>
    <definedName name="A2325846C_Latest">#REF!</definedName>
    <definedName name="A2325847F">#REF!,#REF!</definedName>
    <definedName name="A2325847F_Data">#REF!</definedName>
    <definedName name="A2325847F_Latest">#REF!</definedName>
    <definedName name="A2325850V">#REF!,#REF!</definedName>
    <definedName name="A2325850V_Data">#REF!</definedName>
    <definedName name="A2325850V_Latest">#REF!</definedName>
    <definedName name="BLPH1" hidden="1">'[1]Mthly Data'!$A$3</definedName>
    <definedName name="BLPH2" hidden="1">'[2]Mthly Data'!#REF!</definedName>
    <definedName name="BLPH3" hidden="1">'[2]Mthly Data'!#REF!</definedName>
    <definedName name="blph4" hidden="1">'[2]Mthly Data'!#REF!</definedName>
    <definedName name="Date_Range">#REF!,#REF!</definedName>
    <definedName name="Date_Range_Data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39198.552349537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</definedNames>
  <calcPr calcId="191029"/>
  <customWorkbookViews>
    <customWorkbookView name="Ma, June - Personal View" guid="{2E9D4B95-D3A5-4B88-BEE5-1085751D117B}" mergeInterval="0" personalView="1" maximized="1" windowWidth="1280" windowHeight="7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7" l="1"/>
  <c r="D13" i="7"/>
  <c r="D12" i="7"/>
  <c r="C14" i="7"/>
  <c r="C13" i="7"/>
  <c r="C12" i="7"/>
  <c r="D8" i="7"/>
  <c r="D7" i="7"/>
  <c r="D6" i="7"/>
  <c r="D5" i="7"/>
  <c r="D4" i="7"/>
  <c r="C8" i="7"/>
  <c r="C7" i="7"/>
  <c r="C6" i="7"/>
  <c r="C5" i="7"/>
  <c r="C4" i="7"/>
  <c r="B143" i="5"/>
  <c r="G142" i="5"/>
  <c r="C142" i="5" l="1"/>
  <c r="D142" i="5"/>
  <c r="L142" i="5"/>
  <c r="K92" i="5"/>
  <c r="R92" i="5" s="1"/>
  <c r="C92" i="5"/>
  <c r="K93" i="5"/>
  <c r="L93" i="5" s="1"/>
  <c r="C93" i="5"/>
  <c r="K94" i="5"/>
  <c r="L94" i="5" s="1"/>
  <c r="C94" i="5"/>
  <c r="K95" i="5"/>
  <c r="L95" i="5" s="1"/>
  <c r="C95" i="5"/>
  <c r="K96" i="5"/>
  <c r="L96" i="5" s="1"/>
  <c r="C96" i="5"/>
  <c r="K97" i="5"/>
  <c r="L97" i="5" s="1"/>
  <c r="C97" i="5"/>
  <c r="K98" i="5"/>
  <c r="L98" i="5" s="1"/>
  <c r="C98" i="5"/>
  <c r="K99" i="5"/>
  <c r="R99" i="5" s="1"/>
  <c r="C99" i="5"/>
  <c r="K100" i="5"/>
  <c r="R100" i="5" s="1"/>
  <c r="C100" i="5"/>
  <c r="K101" i="5"/>
  <c r="L101" i="5" s="1"/>
  <c r="C101" i="5"/>
  <c r="K102" i="5"/>
  <c r="L102" i="5" s="1"/>
  <c r="C102" i="5"/>
  <c r="K103" i="5"/>
  <c r="L103" i="5" s="1"/>
  <c r="C103" i="5"/>
  <c r="K104" i="5"/>
  <c r="L104" i="5" s="1"/>
  <c r="C104" i="5"/>
  <c r="K105" i="5"/>
  <c r="C105" i="5"/>
  <c r="K106" i="5"/>
  <c r="L106" i="5" s="1"/>
  <c r="C106" i="5"/>
  <c r="K107" i="5"/>
  <c r="L107" i="5" s="1"/>
  <c r="C107" i="5"/>
  <c r="K108" i="5"/>
  <c r="L108" i="5" s="1"/>
  <c r="C108" i="5"/>
  <c r="K109" i="5"/>
  <c r="C109" i="5"/>
  <c r="K110" i="5"/>
  <c r="L110" i="5" s="1"/>
  <c r="C110" i="5"/>
  <c r="K111" i="5"/>
  <c r="L111" i="5" s="1"/>
  <c r="C111" i="5"/>
  <c r="K112" i="5"/>
  <c r="L112" i="5" s="1"/>
  <c r="C112" i="5"/>
  <c r="K113" i="5"/>
  <c r="L113" i="5" s="1"/>
  <c r="C113" i="5"/>
  <c r="K114" i="5"/>
  <c r="L114" i="5" s="1"/>
  <c r="C114" i="5"/>
  <c r="K115" i="5"/>
  <c r="L115" i="5" s="1"/>
  <c r="C115" i="5"/>
  <c r="K116" i="5"/>
  <c r="L116" i="5" s="1"/>
  <c r="C116" i="5"/>
  <c r="K117" i="5"/>
  <c r="L117" i="5" s="1"/>
  <c r="C117" i="5"/>
  <c r="K118" i="5"/>
  <c r="L118" i="5" s="1"/>
  <c r="C118" i="5"/>
  <c r="K119" i="5"/>
  <c r="L119" i="5" s="1"/>
  <c r="C119" i="5"/>
  <c r="K120" i="5"/>
  <c r="C120" i="5"/>
  <c r="K121" i="5"/>
  <c r="L121" i="5" s="1"/>
  <c r="C121" i="5"/>
  <c r="K122" i="5"/>
  <c r="L122" i="5" s="1"/>
  <c r="C122" i="5"/>
  <c r="K123" i="5"/>
  <c r="L123" i="5" s="1"/>
  <c r="S123" i="5" s="1"/>
  <c r="T123" i="5" s="1"/>
  <c r="C123" i="5"/>
  <c r="K124" i="5"/>
  <c r="L124" i="5" s="1"/>
  <c r="C124" i="5"/>
  <c r="K125" i="5"/>
  <c r="L125" i="5" s="1"/>
  <c r="C125" i="5"/>
  <c r="K126" i="5"/>
  <c r="L126" i="5" s="1"/>
  <c r="C126" i="5"/>
  <c r="K127" i="5"/>
  <c r="L127" i="5" s="1"/>
  <c r="C127" i="5"/>
  <c r="K128" i="5"/>
  <c r="L128" i="5" s="1"/>
  <c r="C128" i="5"/>
  <c r="K129" i="5"/>
  <c r="L129" i="5" s="1"/>
  <c r="C129" i="5"/>
  <c r="K130" i="5"/>
  <c r="L130" i="5" s="1"/>
  <c r="C130" i="5"/>
  <c r="K131" i="5"/>
  <c r="L131" i="5" s="1"/>
  <c r="C131" i="5"/>
  <c r="K132" i="5"/>
  <c r="L132" i="5" s="1"/>
  <c r="C132" i="5"/>
  <c r="K133" i="5"/>
  <c r="L133" i="5" s="1"/>
  <c r="C133" i="5"/>
  <c r="K134" i="5"/>
  <c r="L134" i="5" s="1"/>
  <c r="C134" i="5"/>
  <c r="K135" i="5"/>
  <c r="L135" i="5" s="1"/>
  <c r="C135" i="5"/>
  <c r="K136" i="5"/>
  <c r="L136" i="5" s="1"/>
  <c r="C136" i="5"/>
  <c r="K137" i="5"/>
  <c r="L137" i="5" s="1"/>
  <c r="C137" i="5"/>
  <c r="K138" i="5"/>
  <c r="C138" i="5"/>
  <c r="K139" i="5"/>
  <c r="L139" i="5" s="1"/>
  <c r="C139" i="5"/>
  <c r="K140" i="5"/>
  <c r="L140" i="5" s="1"/>
  <c r="C140" i="5"/>
  <c r="K141" i="5"/>
  <c r="R141" i="5" s="1"/>
  <c r="C141" i="5"/>
  <c r="R98" i="5"/>
  <c r="K3" i="5"/>
  <c r="L3" i="5" s="1"/>
  <c r="D3" i="5"/>
  <c r="E3" i="5" s="1"/>
  <c r="K4" i="5"/>
  <c r="L4" i="5" s="1"/>
  <c r="D4" i="5"/>
  <c r="E4" i="5" s="1"/>
  <c r="K5" i="5"/>
  <c r="L5" i="5" s="1"/>
  <c r="D5" i="5"/>
  <c r="K6" i="5"/>
  <c r="L6" i="5" s="1"/>
  <c r="D6" i="5"/>
  <c r="E6" i="5" s="1"/>
  <c r="K7" i="5"/>
  <c r="L7" i="5" s="1"/>
  <c r="D7" i="5"/>
  <c r="K8" i="5"/>
  <c r="L8" i="5" s="1"/>
  <c r="D8" i="5"/>
  <c r="E8" i="5" s="1"/>
  <c r="K9" i="5"/>
  <c r="L9" i="5" s="1"/>
  <c r="D9" i="5"/>
  <c r="E9" i="5" s="1"/>
  <c r="K10" i="5"/>
  <c r="L10" i="5" s="1"/>
  <c r="D10" i="5"/>
  <c r="E10" i="5" s="1"/>
  <c r="K11" i="5"/>
  <c r="L11" i="5" s="1"/>
  <c r="D11" i="5"/>
  <c r="E11" i="5" s="1"/>
  <c r="K12" i="5"/>
  <c r="L12" i="5" s="1"/>
  <c r="D12" i="5"/>
  <c r="E12" i="5" s="1"/>
  <c r="K13" i="5"/>
  <c r="L13" i="5" s="1"/>
  <c r="D13" i="5"/>
  <c r="K14" i="5"/>
  <c r="L14" i="5" s="1"/>
  <c r="D14" i="5"/>
  <c r="E14" i="5" s="1"/>
  <c r="K15" i="5"/>
  <c r="L15" i="5" s="1"/>
  <c r="D15" i="5"/>
  <c r="E15" i="5" s="1"/>
  <c r="K16" i="5"/>
  <c r="L16" i="5" s="1"/>
  <c r="D16" i="5"/>
  <c r="E16" i="5" s="1"/>
  <c r="K17" i="5"/>
  <c r="L17" i="5" s="1"/>
  <c r="D17" i="5"/>
  <c r="E17" i="5" s="1"/>
  <c r="K18" i="5"/>
  <c r="L18" i="5" s="1"/>
  <c r="D18" i="5"/>
  <c r="E18" i="5" s="1"/>
  <c r="K19" i="5"/>
  <c r="L19" i="5" s="1"/>
  <c r="D19" i="5"/>
  <c r="K20" i="5"/>
  <c r="L20" i="5" s="1"/>
  <c r="D20" i="5"/>
  <c r="E20" i="5" s="1"/>
  <c r="K21" i="5"/>
  <c r="D21" i="5"/>
  <c r="E21" i="5" s="1"/>
  <c r="K22" i="5"/>
  <c r="D22" i="5"/>
  <c r="E22" i="5" s="1"/>
  <c r="K23" i="5"/>
  <c r="D23" i="5"/>
  <c r="E23" i="5" s="1"/>
  <c r="K24" i="5"/>
  <c r="L24" i="5" s="1"/>
  <c r="D24" i="5"/>
  <c r="E24" i="5" s="1"/>
  <c r="K25" i="5"/>
  <c r="D25" i="5"/>
  <c r="E25" i="5" s="1"/>
  <c r="K26" i="5"/>
  <c r="L26" i="5" s="1"/>
  <c r="D26" i="5"/>
  <c r="E26" i="5" s="1"/>
  <c r="K27" i="5"/>
  <c r="D27" i="5"/>
  <c r="E27" i="5" s="1"/>
  <c r="K28" i="5"/>
  <c r="L28" i="5" s="1"/>
  <c r="D28" i="5"/>
  <c r="E28" i="5" s="1"/>
  <c r="K29" i="5"/>
  <c r="D29" i="5"/>
  <c r="E29" i="5" s="1"/>
  <c r="K30" i="5"/>
  <c r="L30" i="5" s="1"/>
  <c r="D30" i="5"/>
  <c r="E30" i="5" s="1"/>
  <c r="K31" i="5"/>
  <c r="D31" i="5"/>
  <c r="E31" i="5" s="1"/>
  <c r="K32" i="5"/>
  <c r="L32" i="5" s="1"/>
  <c r="D32" i="5"/>
  <c r="E32" i="5" s="1"/>
  <c r="K33" i="5"/>
  <c r="L33" i="5" s="1"/>
  <c r="D33" i="5"/>
  <c r="E33" i="5" s="1"/>
  <c r="K34" i="5"/>
  <c r="L34" i="5" s="1"/>
  <c r="D34" i="5"/>
  <c r="K35" i="5"/>
  <c r="L35" i="5" s="1"/>
  <c r="D35" i="5"/>
  <c r="E35" i="5" s="1"/>
  <c r="K36" i="5"/>
  <c r="L36" i="5" s="1"/>
  <c r="D36" i="5"/>
  <c r="K37" i="5"/>
  <c r="L37" i="5" s="1"/>
  <c r="D37" i="5"/>
  <c r="E37" i="5" s="1"/>
  <c r="K38" i="5"/>
  <c r="L38" i="5" s="1"/>
  <c r="D38" i="5"/>
  <c r="K39" i="5"/>
  <c r="L39" i="5" s="1"/>
  <c r="D39" i="5"/>
  <c r="E39" i="5" s="1"/>
  <c r="K40" i="5"/>
  <c r="L40" i="5" s="1"/>
  <c r="D40" i="5"/>
  <c r="K41" i="5"/>
  <c r="L41" i="5" s="1"/>
  <c r="D41" i="5"/>
  <c r="E41" i="5" s="1"/>
  <c r="K42" i="5"/>
  <c r="L42" i="5" s="1"/>
  <c r="D42" i="5"/>
  <c r="K43" i="5"/>
  <c r="L43" i="5" s="1"/>
  <c r="D43" i="5"/>
  <c r="E43" i="5" s="1"/>
  <c r="K44" i="5"/>
  <c r="L44" i="5" s="1"/>
  <c r="D44" i="5"/>
  <c r="K45" i="5"/>
  <c r="L45" i="5" s="1"/>
  <c r="D45" i="5"/>
  <c r="E45" i="5" s="1"/>
  <c r="K46" i="5"/>
  <c r="L46" i="5" s="1"/>
  <c r="D46" i="5"/>
  <c r="K47" i="5"/>
  <c r="L47" i="5" s="1"/>
  <c r="D47" i="5"/>
  <c r="E47" i="5" s="1"/>
  <c r="K48" i="5"/>
  <c r="L48" i="5" s="1"/>
  <c r="D48" i="5"/>
  <c r="E48" i="5" s="1"/>
  <c r="K49" i="5"/>
  <c r="L49" i="5" s="1"/>
  <c r="D49" i="5"/>
  <c r="E49" i="5" s="1"/>
  <c r="K50" i="5"/>
  <c r="L50" i="5" s="1"/>
  <c r="D50" i="5"/>
  <c r="K51" i="5"/>
  <c r="L51" i="5" s="1"/>
  <c r="D51" i="5"/>
  <c r="E51" i="5" s="1"/>
  <c r="K52" i="5"/>
  <c r="L52" i="5" s="1"/>
  <c r="D52" i="5"/>
  <c r="K53" i="5"/>
  <c r="L53" i="5" s="1"/>
  <c r="D53" i="5"/>
  <c r="E53" i="5" s="1"/>
  <c r="K54" i="5"/>
  <c r="D54" i="5"/>
  <c r="E54" i="5" s="1"/>
  <c r="K55" i="5"/>
  <c r="L55" i="5" s="1"/>
  <c r="D55" i="5"/>
  <c r="E55" i="5" s="1"/>
  <c r="K56" i="5"/>
  <c r="D56" i="5"/>
  <c r="E56" i="5" s="1"/>
  <c r="K57" i="5"/>
  <c r="L57" i="5" s="1"/>
  <c r="D57" i="5"/>
  <c r="K58" i="5"/>
  <c r="D58" i="5"/>
  <c r="E58" i="5" s="1"/>
  <c r="K59" i="5"/>
  <c r="L59" i="5" s="1"/>
  <c r="D59" i="5"/>
  <c r="E59" i="5" s="1"/>
  <c r="K60" i="5"/>
  <c r="D60" i="5"/>
  <c r="E60" i="5" s="1"/>
  <c r="K61" i="5"/>
  <c r="L61" i="5" s="1"/>
  <c r="D61" i="5"/>
  <c r="K62" i="5"/>
  <c r="L62" i="5" s="1"/>
  <c r="D62" i="5"/>
  <c r="E62" i="5" s="1"/>
  <c r="K63" i="5"/>
  <c r="D63" i="5"/>
  <c r="E63" i="5" s="1"/>
  <c r="K64" i="5"/>
  <c r="D64" i="5"/>
  <c r="E64" i="5" s="1"/>
  <c r="K65" i="5"/>
  <c r="D65" i="5"/>
  <c r="E65" i="5" s="1"/>
  <c r="K66" i="5"/>
  <c r="L66" i="5" s="1"/>
  <c r="D66" i="5"/>
  <c r="E66" i="5" s="1"/>
  <c r="K67" i="5"/>
  <c r="L67" i="5" s="1"/>
  <c r="D67" i="5"/>
  <c r="E67" i="5" s="1"/>
  <c r="K68" i="5"/>
  <c r="L68" i="5" s="1"/>
  <c r="D68" i="5"/>
  <c r="E68" i="5" s="1"/>
  <c r="K69" i="5"/>
  <c r="D69" i="5"/>
  <c r="E69" i="5" s="1"/>
  <c r="K70" i="5"/>
  <c r="D70" i="5"/>
  <c r="E70" i="5" s="1"/>
  <c r="K71" i="5"/>
  <c r="D71" i="5"/>
  <c r="E71" i="5" s="1"/>
  <c r="K72" i="5"/>
  <c r="L72" i="5" s="1"/>
  <c r="D72" i="5"/>
  <c r="E72" i="5" s="1"/>
  <c r="K73" i="5"/>
  <c r="L73" i="5" s="1"/>
  <c r="D73" i="5"/>
  <c r="E73" i="5" s="1"/>
  <c r="K74" i="5"/>
  <c r="D74" i="5"/>
  <c r="E74" i="5" s="1"/>
  <c r="K75" i="5"/>
  <c r="L75" i="5" s="1"/>
  <c r="D75" i="5"/>
  <c r="E75" i="5" s="1"/>
  <c r="K76" i="5"/>
  <c r="D76" i="5"/>
  <c r="E76" i="5" s="1"/>
  <c r="K77" i="5"/>
  <c r="L77" i="5" s="1"/>
  <c r="D77" i="5"/>
  <c r="E77" i="5" s="1"/>
  <c r="K78" i="5"/>
  <c r="D78" i="5"/>
  <c r="E78" i="5" s="1"/>
  <c r="K79" i="5"/>
  <c r="L79" i="5" s="1"/>
  <c r="D79" i="5"/>
  <c r="E79" i="5" s="1"/>
  <c r="K80" i="5"/>
  <c r="L80" i="5" s="1"/>
  <c r="D80" i="5"/>
  <c r="E80" i="5" s="1"/>
  <c r="K81" i="5"/>
  <c r="D81" i="5"/>
  <c r="E81" i="5" s="1"/>
  <c r="K82" i="5"/>
  <c r="L82" i="5" s="1"/>
  <c r="D82" i="5"/>
  <c r="E82" i="5" s="1"/>
  <c r="K83" i="5"/>
  <c r="D83" i="5"/>
  <c r="K84" i="5"/>
  <c r="L84" i="5" s="1"/>
  <c r="D84" i="5"/>
  <c r="E84" i="5" s="1"/>
  <c r="K85" i="5"/>
  <c r="D85" i="5"/>
  <c r="E85" i="5" s="1"/>
  <c r="K86" i="5"/>
  <c r="D86" i="5"/>
  <c r="E86" i="5" s="1"/>
  <c r="K87" i="5"/>
  <c r="D87" i="5"/>
  <c r="E87" i="5" s="1"/>
  <c r="K88" i="5"/>
  <c r="L88" i="5" s="1"/>
  <c r="D88" i="5"/>
  <c r="E88" i="5" s="1"/>
  <c r="K89" i="5"/>
  <c r="L89" i="5" s="1"/>
  <c r="D89" i="5"/>
  <c r="E89" i="5" s="1"/>
  <c r="K90" i="5"/>
  <c r="D90" i="5"/>
  <c r="E90" i="5" s="1"/>
  <c r="K91" i="5"/>
  <c r="D91" i="5"/>
  <c r="E91" i="5" s="1"/>
  <c r="D92" i="5"/>
  <c r="D93" i="5"/>
  <c r="E93" i="5" s="1"/>
  <c r="D94" i="5"/>
  <c r="D95" i="5"/>
  <c r="E95" i="5" s="1"/>
  <c r="D96" i="5"/>
  <c r="D97" i="5"/>
  <c r="E97" i="5" s="1"/>
  <c r="D98" i="5"/>
  <c r="D99" i="5"/>
  <c r="E99" i="5" s="1"/>
  <c r="D100" i="5"/>
  <c r="D101" i="5"/>
  <c r="E101" i="5" s="1"/>
  <c r="D102" i="5"/>
  <c r="D103" i="5"/>
  <c r="D104" i="5"/>
  <c r="D105" i="5"/>
  <c r="D106" i="5"/>
  <c r="D107" i="5"/>
  <c r="E107" i="5" s="1"/>
  <c r="P107" i="5" s="1"/>
  <c r="Q107" i="5" s="1"/>
  <c r="D108" i="5"/>
  <c r="D109" i="5"/>
  <c r="E109" i="5" s="1"/>
  <c r="D110" i="5"/>
  <c r="D111" i="5"/>
  <c r="D112" i="5"/>
  <c r="D113" i="5"/>
  <c r="D114" i="5"/>
  <c r="D115" i="5"/>
  <c r="E115" i="5" s="1"/>
  <c r="D116" i="5"/>
  <c r="D117" i="5"/>
  <c r="D118" i="5"/>
  <c r="D119" i="5"/>
  <c r="D120" i="5"/>
  <c r="D121" i="5"/>
  <c r="E121" i="5" s="1"/>
  <c r="D122" i="5"/>
  <c r="D123" i="5"/>
  <c r="E123" i="5" s="1"/>
  <c r="D124" i="5"/>
  <c r="D125" i="5"/>
  <c r="D126" i="5"/>
  <c r="D127" i="5"/>
  <c r="D128" i="5"/>
  <c r="D129" i="5"/>
  <c r="E129" i="5" s="1"/>
  <c r="D130" i="5"/>
  <c r="D131" i="5"/>
  <c r="O131" i="5" s="1"/>
  <c r="D132" i="5"/>
  <c r="D133" i="5"/>
  <c r="E133" i="5" s="1"/>
  <c r="D134" i="5"/>
  <c r="D135" i="5"/>
  <c r="D136" i="5"/>
  <c r="D137" i="5"/>
  <c r="E137" i="5" s="1"/>
  <c r="D138" i="5"/>
  <c r="E138" i="5" s="1"/>
  <c r="D139" i="5"/>
  <c r="E139" i="5" s="1"/>
  <c r="D140" i="5"/>
  <c r="D141" i="5"/>
  <c r="E141" i="5" s="1"/>
  <c r="O48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08" i="5"/>
  <c r="G142" i="4"/>
  <c r="J142" i="4"/>
  <c r="B142" i="4"/>
  <c r="F141" i="5"/>
  <c r="K171" i="5"/>
  <c r="K172" i="5"/>
  <c r="K173" i="5"/>
  <c r="K174" i="5"/>
  <c r="K170" i="5"/>
  <c r="F140" i="5"/>
  <c r="M140" i="5" s="1"/>
  <c r="N140" i="5" s="1"/>
  <c r="F139" i="5"/>
  <c r="F138" i="5"/>
  <c r="F137" i="5"/>
  <c r="F136" i="5"/>
  <c r="M136" i="5" s="1"/>
  <c r="N136" i="5" s="1"/>
  <c r="F135" i="5"/>
  <c r="M135" i="5" s="1"/>
  <c r="N135" i="5" s="1"/>
  <c r="F134" i="5"/>
  <c r="F132" i="5"/>
  <c r="F133" i="5"/>
  <c r="F108" i="5"/>
  <c r="F5" i="5"/>
  <c r="F79" i="5"/>
  <c r="F83" i="5"/>
  <c r="F87" i="5"/>
  <c r="F91" i="5"/>
  <c r="F95" i="5"/>
  <c r="F99" i="5"/>
  <c r="F103" i="5"/>
  <c r="F4" i="5"/>
  <c r="F6" i="5"/>
  <c r="F7" i="5"/>
  <c r="F8" i="5"/>
  <c r="F9" i="5"/>
  <c r="F10" i="5"/>
  <c r="F11" i="5"/>
  <c r="F12" i="5"/>
  <c r="M12" i="5" s="1"/>
  <c r="N12" i="5" s="1"/>
  <c r="F13" i="5"/>
  <c r="F14" i="5"/>
  <c r="F15" i="5"/>
  <c r="H15" i="5" s="1"/>
  <c r="I15" i="5" s="1"/>
  <c r="F16" i="5"/>
  <c r="M16" i="5" s="1"/>
  <c r="N16" i="5" s="1"/>
  <c r="F17" i="5"/>
  <c r="F18" i="5"/>
  <c r="F19" i="5"/>
  <c r="F20" i="5"/>
  <c r="F21" i="5"/>
  <c r="F22" i="5"/>
  <c r="F23" i="5"/>
  <c r="F24" i="5"/>
  <c r="M24" i="5" s="1"/>
  <c r="N24" i="5" s="1"/>
  <c r="F25" i="5"/>
  <c r="F26" i="5"/>
  <c r="F27" i="5"/>
  <c r="F28" i="5"/>
  <c r="F29" i="5"/>
  <c r="F30" i="5"/>
  <c r="F31" i="5"/>
  <c r="F32" i="5"/>
  <c r="M32" i="5" s="1"/>
  <c r="N32" i="5" s="1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M68" i="5" s="1"/>
  <c r="N68" i="5" s="1"/>
  <c r="F69" i="5"/>
  <c r="F70" i="5"/>
  <c r="H70" i="5" s="1"/>
  <c r="I70" i="5" s="1"/>
  <c r="F71" i="5"/>
  <c r="F72" i="5"/>
  <c r="M72" i="5" s="1"/>
  <c r="N72" i="5" s="1"/>
  <c r="F73" i="5"/>
  <c r="F74" i="5"/>
  <c r="F75" i="5"/>
  <c r="F76" i="5"/>
  <c r="F77" i="5"/>
  <c r="F78" i="5"/>
  <c r="F80" i="5"/>
  <c r="M80" i="5" s="1"/>
  <c r="N80" i="5" s="1"/>
  <c r="F81" i="5"/>
  <c r="F82" i="5"/>
  <c r="F84" i="5"/>
  <c r="F85" i="5"/>
  <c r="F86" i="5"/>
  <c r="F88" i="5"/>
  <c r="F89" i="5"/>
  <c r="F90" i="5"/>
  <c r="F92" i="5"/>
  <c r="M92" i="5" s="1"/>
  <c r="N92" i="5" s="1"/>
  <c r="F93" i="5"/>
  <c r="F94" i="5"/>
  <c r="F96" i="5"/>
  <c r="F97" i="5"/>
  <c r="F98" i="5"/>
  <c r="F100" i="5"/>
  <c r="M100" i="5" s="1"/>
  <c r="N100" i="5" s="1"/>
  <c r="F101" i="5"/>
  <c r="F102" i="5"/>
  <c r="M102" i="5" s="1"/>
  <c r="N102" i="5" s="1"/>
  <c r="F104" i="5"/>
  <c r="F105" i="5"/>
  <c r="F106" i="5"/>
  <c r="F107" i="5"/>
  <c r="F109" i="5"/>
  <c r="F110" i="5"/>
  <c r="M110" i="5" s="1"/>
  <c r="N110" i="5" s="1"/>
  <c r="F111" i="5"/>
  <c r="F112" i="5"/>
  <c r="M112" i="5" s="1"/>
  <c r="N112" i="5" s="1"/>
  <c r="F113" i="5"/>
  <c r="F114" i="5"/>
  <c r="F115" i="5"/>
  <c r="F116" i="5"/>
  <c r="F117" i="5"/>
  <c r="F118" i="5"/>
  <c r="F119" i="5"/>
  <c r="F120" i="5"/>
  <c r="M120" i="5" s="1"/>
  <c r="N120" i="5" s="1"/>
  <c r="F121" i="5"/>
  <c r="F122" i="5"/>
  <c r="F123" i="5"/>
  <c r="F124" i="5"/>
  <c r="F125" i="5"/>
  <c r="F126" i="5"/>
  <c r="F127" i="5"/>
  <c r="M127" i="5" s="1"/>
  <c r="N127" i="5" s="1"/>
  <c r="F128" i="5"/>
  <c r="F129" i="5"/>
  <c r="F130" i="5"/>
  <c r="F131" i="5"/>
  <c r="M131" i="5" s="1"/>
  <c r="N131" i="5" s="1"/>
  <c r="F3" i="5"/>
  <c r="F2" i="5"/>
  <c r="E142" i="5" l="1"/>
  <c r="P142" i="5" s="1"/>
  <c r="Q142" i="5" s="1"/>
  <c r="D143" i="5"/>
  <c r="G143" i="5" s="1"/>
  <c r="K143" i="5" s="1"/>
  <c r="O4" i="5"/>
  <c r="J56" i="5"/>
  <c r="H119" i="5"/>
  <c r="I119" i="5" s="1"/>
  <c r="H111" i="5"/>
  <c r="I111" i="5" s="1"/>
  <c r="H71" i="5"/>
  <c r="I71" i="5" s="1"/>
  <c r="H39" i="5"/>
  <c r="I39" i="5" s="1"/>
  <c r="H31" i="5"/>
  <c r="I31" i="5" s="1"/>
  <c r="H37" i="5"/>
  <c r="I37" i="5" s="1"/>
  <c r="J97" i="5"/>
  <c r="O103" i="5"/>
  <c r="P95" i="5"/>
  <c r="Q95" i="5" s="1"/>
  <c r="J139" i="5"/>
  <c r="M117" i="5"/>
  <c r="N117" i="5" s="1"/>
  <c r="H136" i="5"/>
  <c r="I136" i="5" s="1"/>
  <c r="J32" i="5"/>
  <c r="H8" i="5"/>
  <c r="I8" i="5" s="1"/>
  <c r="M62" i="5"/>
  <c r="N62" i="5" s="1"/>
  <c r="R136" i="5"/>
  <c r="R123" i="5"/>
  <c r="H103" i="5"/>
  <c r="I103" i="5" s="1"/>
  <c r="H84" i="5"/>
  <c r="I84" i="5" s="1"/>
  <c r="M3" i="5"/>
  <c r="N3" i="5" s="1"/>
  <c r="H76" i="5"/>
  <c r="I76" i="5" s="1"/>
  <c r="H52" i="5"/>
  <c r="I52" i="5" s="1"/>
  <c r="H44" i="5"/>
  <c r="I44" i="5" s="1"/>
  <c r="H20" i="5"/>
  <c r="I20" i="5" s="1"/>
  <c r="O44" i="5"/>
  <c r="M47" i="5"/>
  <c r="N47" i="5" s="1"/>
  <c r="O20" i="5"/>
  <c r="R131" i="5"/>
  <c r="M43" i="5"/>
  <c r="N43" i="5" s="1"/>
  <c r="H26" i="5"/>
  <c r="I26" i="5" s="1"/>
  <c r="H18" i="5"/>
  <c r="I18" i="5" s="1"/>
  <c r="H132" i="5"/>
  <c r="I132" i="5" s="1"/>
  <c r="R122" i="5"/>
  <c r="H34" i="5"/>
  <c r="I34" i="5" s="1"/>
  <c r="R114" i="5"/>
  <c r="M55" i="5"/>
  <c r="N55" i="5" s="1"/>
  <c r="M15" i="5"/>
  <c r="N15" i="5" s="1"/>
  <c r="R110" i="5"/>
  <c r="R127" i="5"/>
  <c r="O36" i="5"/>
  <c r="P4" i="5"/>
  <c r="Q4" i="5" s="1"/>
  <c r="J6" i="5"/>
  <c r="O90" i="5"/>
  <c r="P62" i="5"/>
  <c r="Q62" i="5" s="1"/>
  <c r="P14" i="5"/>
  <c r="Q14" i="5" s="1"/>
  <c r="H25" i="5"/>
  <c r="I25" i="5" s="1"/>
  <c r="J22" i="5"/>
  <c r="J18" i="5"/>
  <c r="J70" i="5"/>
  <c r="J114" i="5"/>
  <c r="H85" i="5"/>
  <c r="I85" i="5" s="1"/>
  <c r="M22" i="5"/>
  <c r="N22" i="5" s="1"/>
  <c r="R135" i="5"/>
  <c r="J82" i="5"/>
  <c r="M73" i="5"/>
  <c r="N73" i="5" s="1"/>
  <c r="J57" i="5"/>
  <c r="H133" i="5"/>
  <c r="I133" i="5" s="1"/>
  <c r="H125" i="5"/>
  <c r="I125" i="5" s="1"/>
  <c r="H109" i="5"/>
  <c r="I109" i="5" s="1"/>
  <c r="H77" i="5"/>
  <c r="I77" i="5" s="1"/>
  <c r="H53" i="5"/>
  <c r="I53" i="5" s="1"/>
  <c r="H45" i="5"/>
  <c r="I45" i="5" s="1"/>
  <c r="H101" i="5"/>
  <c r="I101" i="5" s="1"/>
  <c r="S113" i="5"/>
  <c r="T113" i="5" s="1"/>
  <c r="M46" i="5"/>
  <c r="N46" i="5" s="1"/>
  <c r="H19" i="5"/>
  <c r="I19" i="5" s="1"/>
  <c r="H50" i="5"/>
  <c r="I50" i="5" s="1"/>
  <c r="J53" i="5"/>
  <c r="J81" i="5"/>
  <c r="P53" i="5"/>
  <c r="Q53" i="5" s="1"/>
  <c r="P49" i="5"/>
  <c r="Q49" i="5" s="1"/>
  <c r="P41" i="5"/>
  <c r="Q41" i="5" s="1"/>
  <c r="S117" i="5"/>
  <c r="T117" i="5" s="1"/>
  <c r="M103" i="5"/>
  <c r="N103" i="5" s="1"/>
  <c r="J69" i="5"/>
  <c r="H114" i="5"/>
  <c r="I114" i="5" s="1"/>
  <c r="M74" i="5"/>
  <c r="N74" i="5" s="1"/>
  <c r="M10" i="5"/>
  <c r="N10" i="5" s="1"/>
  <c r="J17" i="5"/>
  <c r="O53" i="5"/>
  <c r="M137" i="5"/>
  <c r="N137" i="5" s="1"/>
  <c r="J45" i="5"/>
  <c r="M26" i="5"/>
  <c r="N26" i="5" s="1"/>
  <c r="J99" i="5"/>
  <c r="M18" i="5"/>
  <c r="N18" i="5" s="1"/>
  <c r="H58" i="5"/>
  <c r="I58" i="5" s="1"/>
  <c r="M34" i="5"/>
  <c r="N34" i="5" s="1"/>
  <c r="P137" i="5"/>
  <c r="Q137" i="5" s="1"/>
  <c r="J133" i="5"/>
  <c r="J90" i="5"/>
  <c r="H106" i="5"/>
  <c r="I106" i="5" s="1"/>
  <c r="H90" i="5"/>
  <c r="I90" i="5" s="1"/>
  <c r="H12" i="5"/>
  <c r="I12" i="5" s="1"/>
  <c r="J138" i="5"/>
  <c r="H3" i="5"/>
  <c r="M30" i="5"/>
  <c r="N30" i="5" s="1"/>
  <c r="M14" i="5"/>
  <c r="N14" i="5" s="1"/>
  <c r="M6" i="5"/>
  <c r="N6" i="5" s="1"/>
  <c r="J21" i="5"/>
  <c r="H95" i="5"/>
  <c r="I95" i="5" s="1"/>
  <c r="O79" i="5"/>
  <c r="P79" i="5"/>
  <c r="Q79" i="5" s="1"/>
  <c r="P67" i="5"/>
  <c r="Q67" i="5" s="1"/>
  <c r="R121" i="5"/>
  <c r="S93" i="5"/>
  <c r="T93" i="5" s="1"/>
  <c r="H123" i="5"/>
  <c r="I123" i="5" s="1"/>
  <c r="J37" i="5"/>
  <c r="J109" i="5"/>
  <c r="J35" i="5"/>
  <c r="L100" i="5"/>
  <c r="S100" i="5" s="1"/>
  <c r="T100" i="5" s="1"/>
  <c r="J125" i="5"/>
  <c r="O117" i="5"/>
  <c r="J63" i="5"/>
  <c r="M121" i="5"/>
  <c r="N121" i="5" s="1"/>
  <c r="M113" i="5"/>
  <c r="N113" i="5" s="1"/>
  <c r="R133" i="5"/>
  <c r="R101" i="5"/>
  <c r="Y153" i="5" s="1"/>
  <c r="J71" i="5"/>
  <c r="H87" i="5"/>
  <c r="I87" i="5" s="1"/>
  <c r="H126" i="5"/>
  <c r="I126" i="5" s="1"/>
  <c r="S134" i="5"/>
  <c r="T134" i="5" s="1"/>
  <c r="J67" i="5"/>
  <c r="J79" i="5"/>
  <c r="H51" i="5"/>
  <c r="I51" i="5" s="1"/>
  <c r="M101" i="5"/>
  <c r="N101" i="5" s="1"/>
  <c r="J75" i="5"/>
  <c r="O125" i="5"/>
  <c r="P129" i="5"/>
  <c r="Q129" i="5" s="1"/>
  <c r="P80" i="5"/>
  <c r="Q80" i="5" s="1"/>
  <c r="J23" i="5"/>
  <c r="H66" i="5"/>
  <c r="I66" i="5" s="1"/>
  <c r="J29" i="5"/>
  <c r="O121" i="5"/>
  <c r="O3" i="5"/>
  <c r="P121" i="5"/>
  <c r="Q121" i="5" s="1"/>
  <c r="O113" i="5"/>
  <c r="O105" i="5"/>
  <c r="P32" i="5"/>
  <c r="Q32" i="5" s="1"/>
  <c r="P20" i="5"/>
  <c r="Q20" i="5" s="1"/>
  <c r="H63" i="5"/>
  <c r="I63" i="5" s="1"/>
  <c r="H83" i="5"/>
  <c r="I83" i="5" s="1"/>
  <c r="H86" i="5"/>
  <c r="I86" i="5" s="1"/>
  <c r="O123" i="5"/>
  <c r="O49" i="5"/>
  <c r="O18" i="5"/>
  <c r="R117" i="5"/>
  <c r="R94" i="5"/>
  <c r="S131" i="5"/>
  <c r="T131" i="5" s="1"/>
  <c r="S127" i="5"/>
  <c r="T127" i="5" s="1"/>
  <c r="M114" i="5"/>
  <c r="N114" i="5" s="1"/>
  <c r="H100" i="5"/>
  <c r="I100" i="5" s="1"/>
  <c r="H89" i="5"/>
  <c r="I89" i="5" s="1"/>
  <c r="H99" i="5"/>
  <c r="I99" i="5" s="1"/>
  <c r="H67" i="5"/>
  <c r="I67" i="5" s="1"/>
  <c r="O14" i="5"/>
  <c r="L92" i="5"/>
  <c r="S92" i="5" s="1"/>
  <c r="T92" i="5" s="1"/>
  <c r="M139" i="5"/>
  <c r="N139" i="5" s="1"/>
  <c r="H13" i="5"/>
  <c r="I13" i="5" s="1"/>
  <c r="H115" i="5"/>
  <c r="I115" i="5" s="1"/>
  <c r="M88" i="5"/>
  <c r="N88" i="5" s="1"/>
  <c r="H69" i="5"/>
  <c r="I69" i="5" s="1"/>
  <c r="M61" i="5"/>
  <c r="N61" i="5" s="1"/>
  <c r="H21" i="5"/>
  <c r="I21" i="5" s="1"/>
  <c r="M13" i="5"/>
  <c r="N13" i="5" s="1"/>
  <c r="M5" i="5"/>
  <c r="N5" i="5" s="1"/>
  <c r="H59" i="5"/>
  <c r="I59" i="5" s="1"/>
  <c r="O45" i="5"/>
  <c r="O10" i="5"/>
  <c r="P139" i="5"/>
  <c r="Q139" i="5" s="1"/>
  <c r="M63" i="5"/>
  <c r="N63" i="5" s="1"/>
  <c r="R113" i="5"/>
  <c r="L141" i="5"/>
  <c r="S141" i="5" s="1"/>
  <c r="T141" i="5" s="1"/>
  <c r="L99" i="5"/>
  <c r="P99" i="5" s="1"/>
  <c r="Q99" i="5" s="1"/>
  <c r="J106" i="5"/>
  <c r="M124" i="5"/>
  <c r="N124" i="5" s="1"/>
  <c r="J123" i="5"/>
  <c r="J117" i="5"/>
  <c r="O80" i="5"/>
  <c r="O6" i="5"/>
  <c r="M86" i="5"/>
  <c r="N86" i="5" s="1"/>
  <c r="R125" i="5"/>
  <c r="S142" i="5"/>
  <c r="T142" i="5" s="1"/>
  <c r="M108" i="5"/>
  <c r="N108" i="5" s="1"/>
  <c r="J115" i="5"/>
  <c r="O41" i="5"/>
  <c r="E131" i="5"/>
  <c r="P131" i="5" s="1"/>
  <c r="Q131" i="5" s="1"/>
  <c r="E125" i="5"/>
  <c r="P125" i="5" s="1"/>
  <c r="Q125" i="5" s="1"/>
  <c r="E113" i="5"/>
  <c r="P113" i="5" s="1"/>
  <c r="Q113" i="5" s="1"/>
  <c r="M70" i="5"/>
  <c r="N70" i="5" s="1"/>
  <c r="R140" i="5"/>
  <c r="R124" i="5"/>
  <c r="R108" i="5"/>
  <c r="M133" i="5"/>
  <c r="N133" i="5" s="1"/>
  <c r="J76" i="5"/>
  <c r="H7" i="5"/>
  <c r="I7" i="5" s="1"/>
  <c r="M84" i="5"/>
  <c r="N84" i="5" s="1"/>
  <c r="O72" i="5"/>
  <c r="O37" i="5"/>
  <c r="R139" i="5"/>
  <c r="R104" i="5"/>
  <c r="M116" i="5"/>
  <c r="N116" i="5" s="1"/>
  <c r="M104" i="5"/>
  <c r="N104" i="5" s="1"/>
  <c r="M57" i="5"/>
  <c r="N57" i="5" s="1"/>
  <c r="M49" i="5"/>
  <c r="N49" i="5" s="1"/>
  <c r="M41" i="5"/>
  <c r="N41" i="5" s="1"/>
  <c r="M33" i="5"/>
  <c r="N33" i="5" s="1"/>
  <c r="H14" i="5"/>
  <c r="I14" i="5" s="1"/>
  <c r="O139" i="5"/>
  <c r="O68" i="5"/>
  <c r="O33" i="5"/>
  <c r="E117" i="5"/>
  <c r="P117" i="5" s="1"/>
  <c r="Q117" i="5" s="1"/>
  <c r="E105" i="5"/>
  <c r="S132" i="5"/>
  <c r="T132" i="5" s="1"/>
  <c r="S128" i="5"/>
  <c r="T128" i="5" s="1"/>
  <c r="O75" i="5"/>
  <c r="P51" i="5"/>
  <c r="Q51" i="5" s="1"/>
  <c r="P16" i="5"/>
  <c r="Q16" i="5" s="1"/>
  <c r="S130" i="5"/>
  <c r="T130" i="5" s="1"/>
  <c r="J95" i="5"/>
  <c r="J60" i="5"/>
  <c r="O97" i="5"/>
  <c r="M78" i="5"/>
  <c r="N78" i="5" s="1"/>
  <c r="R111" i="5"/>
  <c r="H79" i="5"/>
  <c r="I79" i="5" s="1"/>
  <c r="J131" i="5"/>
  <c r="H35" i="5"/>
  <c r="I35" i="5" s="1"/>
  <c r="H40" i="5"/>
  <c r="I40" i="5" s="1"/>
  <c r="H29" i="5"/>
  <c r="I29" i="5" s="1"/>
  <c r="M4" i="5"/>
  <c r="N4" i="5" s="1"/>
  <c r="M122" i="5"/>
  <c r="N122" i="5" s="1"/>
  <c r="M115" i="5"/>
  <c r="N115" i="5" s="1"/>
  <c r="H68" i="5"/>
  <c r="I68" i="5" s="1"/>
  <c r="M119" i="5"/>
  <c r="N119" i="5" s="1"/>
  <c r="M123" i="5"/>
  <c r="N123" i="5" s="1"/>
  <c r="M42" i="5"/>
  <c r="N42" i="5" s="1"/>
  <c r="J47" i="5"/>
  <c r="M38" i="5"/>
  <c r="N38" i="5" s="1"/>
  <c r="J84" i="5"/>
  <c r="M7" i="5"/>
  <c r="N7" i="5" s="1"/>
  <c r="J93" i="5"/>
  <c r="H116" i="5"/>
  <c r="I116" i="5" s="1"/>
  <c r="J141" i="5"/>
  <c r="O137" i="5"/>
  <c r="O67" i="5"/>
  <c r="O30" i="5"/>
  <c r="O12" i="5"/>
  <c r="J92" i="5"/>
  <c r="P26" i="5"/>
  <c r="Q26" i="5" s="1"/>
  <c r="R129" i="5"/>
  <c r="R119" i="5"/>
  <c r="R96" i="5"/>
  <c r="S140" i="5"/>
  <c r="T140" i="5" s="1"/>
  <c r="J12" i="5"/>
  <c r="P39" i="5"/>
  <c r="Q39" i="5" s="1"/>
  <c r="P12" i="5"/>
  <c r="Q12" i="5" s="1"/>
  <c r="M39" i="5"/>
  <c r="N39" i="5" s="1"/>
  <c r="H127" i="5"/>
  <c r="I127" i="5" s="1"/>
  <c r="M59" i="5"/>
  <c r="N59" i="5" s="1"/>
  <c r="J68" i="5"/>
  <c r="J85" i="5"/>
  <c r="M138" i="5"/>
  <c r="N138" i="5" s="1"/>
  <c r="O119" i="5"/>
  <c r="O93" i="5"/>
  <c r="O32" i="5"/>
  <c r="P123" i="5"/>
  <c r="Q123" i="5" s="1"/>
  <c r="R97" i="5"/>
  <c r="S125" i="5"/>
  <c r="T125" i="5" s="1"/>
  <c r="S122" i="5"/>
  <c r="T122" i="5" s="1"/>
  <c r="S102" i="5"/>
  <c r="T102" i="5" s="1"/>
  <c r="M97" i="5"/>
  <c r="N97" i="5" s="1"/>
  <c r="M106" i="5"/>
  <c r="N106" i="5" s="1"/>
  <c r="H131" i="5"/>
  <c r="I131" i="5" s="1"/>
  <c r="H55" i="5"/>
  <c r="I55" i="5" s="1"/>
  <c r="H23" i="5"/>
  <c r="I23" i="5" s="1"/>
  <c r="M89" i="5"/>
  <c r="N89" i="5" s="1"/>
  <c r="H5" i="5"/>
  <c r="I5" i="5" s="1"/>
  <c r="J98" i="5"/>
  <c r="H60" i="5"/>
  <c r="I60" i="5" s="1"/>
  <c r="H74" i="5"/>
  <c r="I74" i="5" s="1"/>
  <c r="J59" i="5"/>
  <c r="J104" i="5"/>
  <c r="H47" i="5"/>
  <c r="I47" i="5" s="1"/>
  <c r="J101" i="5"/>
  <c r="M96" i="5"/>
  <c r="N96" i="5" s="1"/>
  <c r="M75" i="5"/>
  <c r="N75" i="5" s="1"/>
  <c r="M19" i="5"/>
  <c r="N19" i="5" s="1"/>
  <c r="H141" i="5"/>
  <c r="I141" i="5" s="1"/>
  <c r="O133" i="5"/>
  <c r="O115" i="5"/>
  <c r="O89" i="5"/>
  <c r="O62" i="5"/>
  <c r="O43" i="5"/>
  <c r="O28" i="5"/>
  <c r="P97" i="5"/>
  <c r="Q97" i="5" s="1"/>
  <c r="R118" i="5"/>
  <c r="R106" i="5"/>
  <c r="O101" i="5"/>
  <c r="O35" i="5"/>
  <c r="P47" i="5"/>
  <c r="Q47" i="5" s="1"/>
  <c r="R134" i="5"/>
  <c r="S107" i="5"/>
  <c r="T107" i="5" s="1"/>
  <c r="M35" i="5"/>
  <c r="N35" i="5" s="1"/>
  <c r="M51" i="5"/>
  <c r="N51" i="5" s="1"/>
  <c r="J66" i="5"/>
  <c r="J78" i="5"/>
  <c r="O16" i="5"/>
  <c r="J124" i="5"/>
  <c r="M125" i="5"/>
  <c r="N125" i="5" s="1"/>
  <c r="M50" i="5"/>
  <c r="N50" i="5" s="1"/>
  <c r="M28" i="5"/>
  <c r="N28" i="5" s="1"/>
  <c r="J58" i="5"/>
  <c r="J26" i="5"/>
  <c r="H4" i="5"/>
  <c r="I4" i="5" s="1"/>
  <c r="J130" i="5"/>
  <c r="M126" i="5"/>
  <c r="N126" i="5" s="1"/>
  <c r="H138" i="5"/>
  <c r="I138" i="5" s="1"/>
  <c r="J107" i="5"/>
  <c r="O82" i="5"/>
  <c r="O26" i="5"/>
  <c r="O8" i="5"/>
  <c r="P72" i="5"/>
  <c r="Q72" i="5" s="1"/>
  <c r="P68" i="5"/>
  <c r="Q68" i="5" s="1"/>
  <c r="R137" i="5"/>
  <c r="R126" i="5"/>
  <c r="R93" i="5"/>
  <c r="S124" i="5"/>
  <c r="T124" i="5" s="1"/>
  <c r="S98" i="5"/>
  <c r="T98" i="5" s="1"/>
  <c r="S94" i="5"/>
  <c r="T94" i="5" s="1"/>
  <c r="H135" i="5"/>
  <c r="I135" i="5" s="1"/>
  <c r="M79" i="5"/>
  <c r="N79" i="5" s="1"/>
  <c r="J4" i="5"/>
  <c r="H42" i="5"/>
  <c r="I42" i="5" s="1"/>
  <c r="H10" i="5"/>
  <c r="I10" i="5" s="1"/>
  <c r="S103" i="5"/>
  <c r="T103" i="5" s="1"/>
  <c r="J51" i="5"/>
  <c r="M20" i="5"/>
  <c r="N20" i="5" s="1"/>
  <c r="O47" i="5"/>
  <c r="P89" i="5"/>
  <c r="Q89" i="5" s="1"/>
  <c r="H117" i="5"/>
  <c r="I117" i="5" s="1"/>
  <c r="M67" i="5"/>
  <c r="N67" i="5" s="1"/>
  <c r="J129" i="5"/>
  <c r="J39" i="5"/>
  <c r="H28" i="5"/>
  <c r="I28" i="5" s="1"/>
  <c r="J87" i="5"/>
  <c r="J74" i="5"/>
  <c r="J31" i="5"/>
  <c r="H130" i="5"/>
  <c r="I130" i="5" s="1"/>
  <c r="J8" i="5"/>
  <c r="J49" i="5"/>
  <c r="M66" i="5"/>
  <c r="N66" i="5" s="1"/>
  <c r="H36" i="5"/>
  <c r="I36" i="5" s="1"/>
  <c r="M111" i="5"/>
  <c r="N111" i="5" s="1"/>
  <c r="M11" i="5"/>
  <c r="N11" i="5" s="1"/>
  <c r="H61" i="5"/>
  <c r="I61" i="5" s="1"/>
  <c r="J10" i="5"/>
  <c r="J89" i="5"/>
  <c r="H118" i="5"/>
  <c r="I118" i="5" s="1"/>
  <c r="H122" i="5"/>
  <c r="I122" i="5" s="1"/>
  <c r="J20" i="5"/>
  <c r="M129" i="5"/>
  <c r="N129" i="5" s="1"/>
  <c r="H93" i="5"/>
  <c r="I93" i="5" s="1"/>
  <c r="M134" i="5"/>
  <c r="N134" i="5" s="1"/>
  <c r="H43" i="5"/>
  <c r="I43" i="5" s="1"/>
  <c r="O129" i="5"/>
  <c r="O51" i="5"/>
  <c r="O39" i="5"/>
  <c r="O24" i="5"/>
  <c r="P24" i="5"/>
  <c r="Q24" i="5" s="1"/>
  <c r="R115" i="5"/>
  <c r="R102" i="5"/>
  <c r="H113" i="5"/>
  <c r="I113" i="5" s="1"/>
  <c r="J113" i="5"/>
  <c r="L85" i="5"/>
  <c r="P85" i="5" s="1"/>
  <c r="Q85" i="5" s="1"/>
  <c r="M85" i="5"/>
  <c r="N85" i="5" s="1"/>
  <c r="L81" i="5"/>
  <c r="P81" i="5" s="1"/>
  <c r="Q81" i="5" s="1"/>
  <c r="M81" i="5"/>
  <c r="N81" i="5" s="1"/>
  <c r="L74" i="5"/>
  <c r="P74" i="5" s="1"/>
  <c r="Q74" i="5" s="1"/>
  <c r="O74" i="5"/>
  <c r="E46" i="5"/>
  <c r="P46" i="5" s="1"/>
  <c r="Q46" i="5" s="1"/>
  <c r="O46" i="5"/>
  <c r="E38" i="5"/>
  <c r="P38" i="5" s="1"/>
  <c r="Q38" i="5" s="1"/>
  <c r="O38" i="5"/>
  <c r="L31" i="5"/>
  <c r="P31" i="5" s="1"/>
  <c r="Q31" i="5" s="1"/>
  <c r="O31" i="5"/>
  <c r="M31" i="5"/>
  <c r="N31" i="5" s="1"/>
  <c r="L23" i="5"/>
  <c r="P23" i="5" s="1"/>
  <c r="Q23" i="5" s="1"/>
  <c r="O23" i="5"/>
  <c r="E7" i="5"/>
  <c r="P7" i="5" s="1"/>
  <c r="Q7" i="5" s="1"/>
  <c r="J7" i="5"/>
  <c r="J46" i="5"/>
  <c r="H94" i="5"/>
  <c r="I94" i="5" s="1"/>
  <c r="H62" i="5"/>
  <c r="I62" i="5" s="1"/>
  <c r="H30" i="5"/>
  <c r="I30" i="5" s="1"/>
  <c r="J30" i="5"/>
  <c r="O85" i="5"/>
  <c r="O11" i="5"/>
  <c r="J135" i="5"/>
  <c r="E135" i="5"/>
  <c r="P135" i="5" s="1"/>
  <c r="Q135" i="5" s="1"/>
  <c r="E111" i="5"/>
  <c r="P111" i="5" s="1"/>
  <c r="Q111" i="5" s="1"/>
  <c r="O111" i="5"/>
  <c r="J111" i="5"/>
  <c r="L58" i="5"/>
  <c r="P58" i="5" s="1"/>
  <c r="Q58" i="5" s="1"/>
  <c r="M58" i="5"/>
  <c r="N58" i="5" s="1"/>
  <c r="H137" i="5"/>
  <c r="I137" i="5" s="1"/>
  <c r="E50" i="5"/>
  <c r="P50" i="5" s="1"/>
  <c r="Q50" i="5" s="1"/>
  <c r="O50" i="5"/>
  <c r="E42" i="5"/>
  <c r="P42" i="5" s="1"/>
  <c r="Q42" i="5" s="1"/>
  <c r="J42" i="5"/>
  <c r="O42" i="5"/>
  <c r="E34" i="5"/>
  <c r="P34" i="5" s="1"/>
  <c r="Q34" i="5" s="1"/>
  <c r="O34" i="5"/>
  <c r="J34" i="5"/>
  <c r="L27" i="5"/>
  <c r="P27" i="5" s="1"/>
  <c r="Q27" i="5" s="1"/>
  <c r="M27" i="5"/>
  <c r="N27" i="5" s="1"/>
  <c r="O27" i="5"/>
  <c r="E19" i="5"/>
  <c r="P19" i="5" s="1"/>
  <c r="Q19" i="5" s="1"/>
  <c r="J19" i="5"/>
  <c r="J137" i="5"/>
  <c r="M8" i="5"/>
  <c r="N8" i="5" s="1"/>
  <c r="H107" i="5"/>
  <c r="I107" i="5" s="1"/>
  <c r="M25" i="5"/>
  <c r="N25" i="5" s="1"/>
  <c r="J105" i="5"/>
  <c r="H105" i="5"/>
  <c r="I105" i="5" s="1"/>
  <c r="H81" i="5"/>
  <c r="I81" i="5" s="1"/>
  <c r="H17" i="5"/>
  <c r="I17" i="5" s="1"/>
  <c r="P88" i="5"/>
  <c r="Q88" i="5" s="1"/>
  <c r="L69" i="5"/>
  <c r="P69" i="5" s="1"/>
  <c r="Q69" i="5" s="1"/>
  <c r="M69" i="5"/>
  <c r="N69" i="5" s="1"/>
  <c r="O69" i="5"/>
  <c r="L65" i="5"/>
  <c r="P65" i="5" s="1"/>
  <c r="Q65" i="5" s="1"/>
  <c r="O65" i="5"/>
  <c r="M65" i="5"/>
  <c r="N65" i="5" s="1"/>
  <c r="E61" i="5"/>
  <c r="P61" i="5" s="1"/>
  <c r="Q61" i="5" s="1"/>
  <c r="J61" i="5"/>
  <c r="O61" i="5"/>
  <c r="R130" i="5"/>
  <c r="M82" i="5"/>
  <c r="N82" i="5" s="1"/>
  <c r="H82" i="5"/>
  <c r="I82" i="5" s="1"/>
  <c r="H24" i="5"/>
  <c r="I24" i="5" s="1"/>
  <c r="M23" i="5"/>
  <c r="N23" i="5" s="1"/>
  <c r="H75" i="5"/>
  <c r="I75" i="5" s="1"/>
  <c r="J43" i="5"/>
  <c r="H121" i="5"/>
  <c r="I121" i="5" s="1"/>
  <c r="J15" i="5"/>
  <c r="J86" i="5"/>
  <c r="H73" i="5"/>
  <c r="I73" i="5" s="1"/>
  <c r="J73" i="5"/>
  <c r="J54" i="5"/>
  <c r="H54" i="5"/>
  <c r="I54" i="5" s="1"/>
  <c r="J41" i="5"/>
  <c r="H41" i="5"/>
  <c r="I41" i="5" s="1"/>
  <c r="H22" i="5"/>
  <c r="I22" i="5" s="1"/>
  <c r="J16" i="5"/>
  <c r="H16" i="5"/>
  <c r="I16" i="5" s="1"/>
  <c r="J9" i="5"/>
  <c r="H9" i="5"/>
  <c r="I9" i="5" s="1"/>
  <c r="O81" i="5"/>
  <c r="O19" i="5"/>
  <c r="J103" i="5"/>
  <c r="E103" i="5"/>
  <c r="P103" i="5" s="1"/>
  <c r="Q103" i="5" s="1"/>
  <c r="M98" i="5"/>
  <c r="N98" i="5" s="1"/>
  <c r="H98" i="5"/>
  <c r="I98" i="5" s="1"/>
  <c r="H134" i="5"/>
  <c r="I134" i="5" s="1"/>
  <c r="J134" i="5"/>
  <c r="H110" i="5"/>
  <c r="I110" i="5" s="1"/>
  <c r="O58" i="5"/>
  <c r="O7" i="5"/>
  <c r="E127" i="5"/>
  <c r="P127" i="5" s="1"/>
  <c r="Q127" i="5" s="1"/>
  <c r="J127" i="5"/>
  <c r="O127" i="5"/>
  <c r="L91" i="5"/>
  <c r="P91" i="5" s="1"/>
  <c r="Q91" i="5" s="1"/>
  <c r="O91" i="5"/>
  <c r="M91" i="5"/>
  <c r="N91" i="5" s="1"/>
  <c r="L87" i="5"/>
  <c r="P87" i="5" s="1"/>
  <c r="Q87" i="5" s="1"/>
  <c r="M87" i="5"/>
  <c r="N87" i="5" s="1"/>
  <c r="O87" i="5"/>
  <c r="L83" i="5"/>
  <c r="O83" i="5"/>
  <c r="M83" i="5"/>
  <c r="N83" i="5" s="1"/>
  <c r="L76" i="5"/>
  <c r="P76" i="5" s="1"/>
  <c r="Q76" i="5" s="1"/>
  <c r="M76" i="5"/>
  <c r="N76" i="5" s="1"/>
  <c r="E52" i="5"/>
  <c r="P52" i="5" s="1"/>
  <c r="Q52" i="5" s="1"/>
  <c r="J52" i="5"/>
  <c r="E44" i="5"/>
  <c r="P44" i="5" s="1"/>
  <c r="Q44" i="5" s="1"/>
  <c r="J44" i="5"/>
  <c r="E40" i="5"/>
  <c r="P40" i="5" s="1"/>
  <c r="Q40" i="5" s="1"/>
  <c r="J40" i="5"/>
  <c r="E36" i="5"/>
  <c r="P36" i="5" s="1"/>
  <c r="Q36" i="5" s="1"/>
  <c r="J36" i="5"/>
  <c r="L29" i="5"/>
  <c r="P29" i="5" s="1"/>
  <c r="Q29" i="5" s="1"/>
  <c r="O29" i="5"/>
  <c r="M29" i="5"/>
  <c r="N29" i="5" s="1"/>
  <c r="L25" i="5"/>
  <c r="P25" i="5" s="1"/>
  <c r="Q25" i="5" s="1"/>
  <c r="O25" i="5"/>
  <c r="L21" i="5"/>
  <c r="P21" i="5" s="1"/>
  <c r="Q21" i="5" s="1"/>
  <c r="O21" i="5"/>
  <c r="M21" i="5"/>
  <c r="N21" i="5" s="1"/>
  <c r="E13" i="5"/>
  <c r="P13" i="5" s="1"/>
  <c r="Q13" i="5" s="1"/>
  <c r="J13" i="5"/>
  <c r="E5" i="5"/>
  <c r="P5" i="5" s="1"/>
  <c r="Q5" i="5" s="1"/>
  <c r="J5" i="5"/>
  <c r="M93" i="5"/>
  <c r="N93" i="5" s="1"/>
  <c r="J62" i="5"/>
  <c r="J118" i="5"/>
  <c r="M45" i="5"/>
  <c r="N45" i="5" s="1"/>
  <c r="H32" i="5"/>
  <c r="I32" i="5" s="1"/>
  <c r="J121" i="5"/>
  <c r="H97" i="5"/>
  <c r="I97" i="5" s="1"/>
  <c r="H91" i="5"/>
  <c r="I91" i="5" s="1"/>
  <c r="J91" i="5"/>
  <c r="H78" i="5"/>
  <c r="I78" i="5" s="1"/>
  <c r="H46" i="5"/>
  <c r="I46" i="5" s="1"/>
  <c r="J27" i="5"/>
  <c r="H27" i="5"/>
  <c r="I27" i="5" s="1"/>
  <c r="J14" i="5"/>
  <c r="L60" i="5"/>
  <c r="P60" i="5" s="1"/>
  <c r="Q60" i="5" s="1"/>
  <c r="M60" i="5"/>
  <c r="N60" i="5" s="1"/>
  <c r="O60" i="5"/>
  <c r="L56" i="5"/>
  <c r="P56" i="5" s="1"/>
  <c r="Q56" i="5" s="1"/>
  <c r="M56" i="5"/>
  <c r="N56" i="5" s="1"/>
  <c r="O56" i="5"/>
  <c r="L109" i="5"/>
  <c r="S109" i="5" s="1"/>
  <c r="T109" i="5" s="1"/>
  <c r="O109" i="5"/>
  <c r="R109" i="5"/>
  <c r="L105" i="5"/>
  <c r="S105" i="5" s="1"/>
  <c r="T105" i="5" s="1"/>
  <c r="M105" i="5"/>
  <c r="N105" i="5" s="1"/>
  <c r="R105" i="5"/>
  <c r="H49" i="5"/>
  <c r="I49" i="5" s="1"/>
  <c r="M77" i="5"/>
  <c r="N77" i="5" s="1"/>
  <c r="J50" i="5"/>
  <c r="H139" i="5"/>
  <c r="I139" i="5" s="1"/>
  <c r="H102" i="5"/>
  <c r="I102" i="5" s="1"/>
  <c r="J102" i="5"/>
  <c r="J65" i="5"/>
  <c r="H65" i="5"/>
  <c r="I65" i="5" s="1"/>
  <c r="J33" i="5"/>
  <c r="H33" i="5"/>
  <c r="I33" i="5" s="1"/>
  <c r="O76" i="5"/>
  <c r="O52" i="5"/>
  <c r="O15" i="5"/>
  <c r="E119" i="5"/>
  <c r="P119" i="5" s="1"/>
  <c r="Q119" i="5" s="1"/>
  <c r="J119" i="5"/>
  <c r="L90" i="5"/>
  <c r="P90" i="5" s="1"/>
  <c r="Q90" i="5" s="1"/>
  <c r="M90" i="5"/>
  <c r="N90" i="5" s="1"/>
  <c r="L71" i="5"/>
  <c r="P71" i="5" s="1"/>
  <c r="Q71" i="5" s="1"/>
  <c r="M71" i="5"/>
  <c r="N71" i="5" s="1"/>
  <c r="O71" i="5"/>
  <c r="L63" i="5"/>
  <c r="P63" i="5" s="1"/>
  <c r="Q63" i="5" s="1"/>
  <c r="O63" i="5"/>
  <c r="M109" i="5"/>
  <c r="N109" i="5" s="1"/>
  <c r="M130" i="5"/>
  <c r="N130" i="5" s="1"/>
  <c r="H92" i="5"/>
  <c r="I92" i="5" s="1"/>
  <c r="M37" i="5"/>
  <c r="N37" i="5" s="1"/>
  <c r="M53" i="5"/>
  <c r="N53" i="5" s="1"/>
  <c r="J126" i="5"/>
  <c r="H57" i="5"/>
  <c r="H38" i="5"/>
  <c r="I38" i="5" s="1"/>
  <c r="J38" i="5"/>
  <c r="J25" i="5"/>
  <c r="H6" i="5"/>
  <c r="I6" i="5" s="1"/>
  <c r="O135" i="5"/>
  <c r="O40" i="5"/>
  <c r="L120" i="5"/>
  <c r="S120" i="5" s="1"/>
  <c r="T120" i="5" s="1"/>
  <c r="R120" i="5"/>
  <c r="P48" i="5"/>
  <c r="Q48" i="5" s="1"/>
  <c r="P17" i="5"/>
  <c r="Q17" i="5" s="1"/>
  <c r="P9" i="5"/>
  <c r="Q9" i="5" s="1"/>
  <c r="S137" i="5"/>
  <c r="T137" i="5" s="1"/>
  <c r="M48" i="5"/>
  <c r="N48" i="5" s="1"/>
  <c r="M9" i="5"/>
  <c r="N9" i="5" s="1"/>
  <c r="M36" i="5"/>
  <c r="N36" i="5" s="1"/>
  <c r="J55" i="5"/>
  <c r="O88" i="5"/>
  <c r="O17" i="5"/>
  <c r="O9" i="5"/>
  <c r="P93" i="5"/>
  <c r="Q93" i="5" s="1"/>
  <c r="P84" i="5"/>
  <c r="Q84" i="5" s="1"/>
  <c r="P77" i="5"/>
  <c r="Q77" i="5" s="1"/>
  <c r="P73" i="5"/>
  <c r="Q73" i="5" s="1"/>
  <c r="P66" i="5"/>
  <c r="Q66" i="5" s="1"/>
  <c r="P28" i="5"/>
  <c r="Q28" i="5" s="1"/>
  <c r="R128" i="5"/>
  <c r="R112" i="5"/>
  <c r="S129" i="5"/>
  <c r="T129" i="5" s="1"/>
  <c r="S126" i="5"/>
  <c r="T126" i="5" s="1"/>
  <c r="S119" i="5"/>
  <c r="T119" i="5" s="1"/>
  <c r="S133" i="5"/>
  <c r="T133" i="5" s="1"/>
  <c r="S116" i="5"/>
  <c r="T116" i="5" s="1"/>
  <c r="S101" i="5"/>
  <c r="T101" i="5" s="1"/>
  <c r="S95" i="5"/>
  <c r="T95" i="5" s="1"/>
  <c r="M132" i="5"/>
  <c r="N132" i="5" s="1"/>
  <c r="J24" i="5"/>
  <c r="M40" i="5"/>
  <c r="N40" i="5" s="1"/>
  <c r="M17" i="5"/>
  <c r="N17" i="5" s="1"/>
  <c r="O99" i="5"/>
  <c r="O77" i="5"/>
  <c r="O59" i="5"/>
  <c r="P35" i="5"/>
  <c r="Q35" i="5" s="1"/>
  <c r="P8" i="5"/>
  <c r="Q8" i="5" s="1"/>
  <c r="R103" i="5"/>
  <c r="R95" i="5"/>
  <c r="M95" i="5"/>
  <c r="N95" i="5" s="1"/>
  <c r="J77" i="5"/>
  <c r="H108" i="5"/>
  <c r="I108" i="5" s="1"/>
  <c r="O95" i="5"/>
  <c r="O84" i="5"/>
  <c r="O66" i="5"/>
  <c r="P82" i="5"/>
  <c r="Q82" i="5" s="1"/>
  <c r="P75" i="5"/>
  <c r="Q75" i="5" s="1"/>
  <c r="P15" i="5"/>
  <c r="Q15" i="5" s="1"/>
  <c r="P3" i="5"/>
  <c r="Q3" i="5" s="1"/>
  <c r="S139" i="5"/>
  <c r="T139" i="5" s="1"/>
  <c r="S135" i="5"/>
  <c r="T135" i="5" s="1"/>
  <c r="S114" i="5"/>
  <c r="T114" i="5" s="1"/>
  <c r="S110" i="5"/>
  <c r="T110" i="5" s="1"/>
  <c r="S97" i="5"/>
  <c r="T97" i="5" s="1"/>
  <c r="M107" i="5"/>
  <c r="N107" i="5" s="1"/>
  <c r="M52" i="5"/>
  <c r="N52" i="5" s="1"/>
  <c r="M44" i="5"/>
  <c r="N44" i="5" s="1"/>
  <c r="M94" i="5"/>
  <c r="N94" i="5" s="1"/>
  <c r="M99" i="5"/>
  <c r="N99" i="5" s="1"/>
  <c r="J3" i="5"/>
  <c r="J28" i="5"/>
  <c r="H11" i="5"/>
  <c r="I11" i="5" s="1"/>
  <c r="M141" i="5"/>
  <c r="N141" i="5" s="1"/>
  <c r="O141" i="5"/>
  <c r="O55" i="5"/>
  <c r="O13" i="5"/>
  <c r="O5" i="5"/>
  <c r="P133" i="5"/>
  <c r="Q133" i="5" s="1"/>
  <c r="P101" i="5"/>
  <c r="Q101" i="5" s="1"/>
  <c r="R132" i="5"/>
  <c r="R116" i="5"/>
  <c r="S121" i="5"/>
  <c r="T121" i="5" s="1"/>
  <c r="S106" i="5"/>
  <c r="T106" i="5" s="1"/>
  <c r="M128" i="5"/>
  <c r="N128" i="5" s="1"/>
  <c r="M118" i="5"/>
  <c r="N118" i="5" s="1"/>
  <c r="O107" i="5"/>
  <c r="O73" i="5"/>
  <c r="J122" i="5"/>
  <c r="P33" i="5"/>
  <c r="Q33" i="5" s="1"/>
  <c r="P10" i="5"/>
  <c r="Q10" i="5" s="1"/>
  <c r="R107" i="5"/>
  <c r="H112" i="5"/>
  <c r="I112" i="5" s="1"/>
  <c r="J80" i="5"/>
  <c r="E126" i="5"/>
  <c r="P126" i="5" s="1"/>
  <c r="Q126" i="5" s="1"/>
  <c r="O126" i="5"/>
  <c r="E110" i="5"/>
  <c r="P110" i="5" s="1"/>
  <c r="Q110" i="5" s="1"/>
  <c r="O110" i="5"/>
  <c r="H48" i="5"/>
  <c r="I48" i="5" s="1"/>
  <c r="J88" i="5"/>
  <c r="J11" i="5"/>
  <c r="J72" i="5"/>
  <c r="H96" i="5"/>
  <c r="I96" i="5" s="1"/>
  <c r="E136" i="5"/>
  <c r="P136" i="5" s="1"/>
  <c r="Q136" i="5" s="1"/>
  <c r="O136" i="5"/>
  <c r="E120" i="5"/>
  <c r="O120" i="5"/>
  <c r="E104" i="5"/>
  <c r="P104" i="5" s="1"/>
  <c r="Q104" i="5" s="1"/>
  <c r="O104" i="5"/>
  <c r="L70" i="5"/>
  <c r="P70" i="5" s="1"/>
  <c r="Q70" i="5" s="1"/>
  <c r="O70" i="5"/>
  <c r="S108" i="5"/>
  <c r="T108" i="5" s="1"/>
  <c r="E94" i="5"/>
  <c r="P94" i="5" s="1"/>
  <c r="Q94" i="5" s="1"/>
  <c r="O94" i="5"/>
  <c r="H129" i="5"/>
  <c r="I129" i="5" s="1"/>
  <c r="H120" i="5"/>
  <c r="I120" i="5" s="1"/>
  <c r="H124" i="5"/>
  <c r="I124" i="5" s="1"/>
  <c r="J64" i="5"/>
  <c r="J110" i="5"/>
  <c r="H72" i="5"/>
  <c r="I72" i="5" s="1"/>
  <c r="J100" i="5"/>
  <c r="E130" i="5"/>
  <c r="P130" i="5" s="1"/>
  <c r="Q130" i="5" s="1"/>
  <c r="O130" i="5"/>
  <c r="E114" i="5"/>
  <c r="P114" i="5" s="1"/>
  <c r="Q114" i="5" s="1"/>
  <c r="O114" i="5"/>
  <c r="E98" i="5"/>
  <c r="P98" i="5" s="1"/>
  <c r="Q98" i="5" s="1"/>
  <c r="O98" i="5"/>
  <c r="E83" i="5"/>
  <c r="J83" i="5"/>
  <c r="S115" i="5"/>
  <c r="T115" i="5" s="1"/>
  <c r="P115" i="5"/>
  <c r="Q115" i="5" s="1"/>
  <c r="S111" i="5"/>
  <c r="T111" i="5" s="1"/>
  <c r="H56" i="5"/>
  <c r="I56" i="5" s="1"/>
  <c r="E140" i="5"/>
  <c r="P140" i="5" s="1"/>
  <c r="Q140" i="5" s="1"/>
  <c r="O140" i="5"/>
  <c r="E124" i="5"/>
  <c r="P124" i="5" s="1"/>
  <c r="Q124" i="5" s="1"/>
  <c r="O124" i="5"/>
  <c r="E108" i="5"/>
  <c r="P108" i="5" s="1"/>
  <c r="Q108" i="5" s="1"/>
  <c r="O108" i="5"/>
  <c r="E92" i="5"/>
  <c r="O92" i="5"/>
  <c r="L54" i="5"/>
  <c r="P54" i="5" s="1"/>
  <c r="Q54" i="5" s="1"/>
  <c r="O54" i="5"/>
  <c r="S118" i="5"/>
  <c r="T118" i="5" s="1"/>
  <c r="E116" i="5"/>
  <c r="P116" i="5" s="1"/>
  <c r="Q116" i="5" s="1"/>
  <c r="O116" i="5"/>
  <c r="L78" i="5"/>
  <c r="P78" i="5" s="1"/>
  <c r="Q78" i="5" s="1"/>
  <c r="O78" i="5"/>
  <c r="J128" i="5"/>
  <c r="H64" i="5"/>
  <c r="J136" i="5"/>
  <c r="J48" i="5"/>
  <c r="M54" i="5"/>
  <c r="N54" i="5" s="1"/>
  <c r="J112" i="5"/>
  <c r="J108" i="5"/>
  <c r="H128" i="5"/>
  <c r="I128" i="5" s="1"/>
  <c r="E134" i="5"/>
  <c r="P134" i="5" s="1"/>
  <c r="Q134" i="5" s="1"/>
  <c r="O134" i="5"/>
  <c r="E118" i="5"/>
  <c r="P118" i="5" s="1"/>
  <c r="Q118" i="5" s="1"/>
  <c r="O118" i="5"/>
  <c r="E102" i="5"/>
  <c r="P102" i="5" s="1"/>
  <c r="Q102" i="5" s="1"/>
  <c r="O102" i="5"/>
  <c r="E57" i="5"/>
  <c r="P57" i="5" s="1"/>
  <c r="Q57" i="5" s="1"/>
  <c r="O57" i="5"/>
  <c r="E100" i="5"/>
  <c r="O100" i="5"/>
  <c r="J96" i="5"/>
  <c r="H104" i="5"/>
  <c r="I104" i="5" s="1"/>
  <c r="J116" i="5"/>
  <c r="J140" i="5"/>
  <c r="H140" i="5"/>
  <c r="I140" i="5" s="1"/>
  <c r="E128" i="5"/>
  <c r="P128" i="5" s="1"/>
  <c r="Q128" i="5" s="1"/>
  <c r="O128" i="5"/>
  <c r="E112" i="5"/>
  <c r="P112" i="5" s="1"/>
  <c r="Q112" i="5" s="1"/>
  <c r="O112" i="5"/>
  <c r="E96" i="5"/>
  <c r="P96" i="5" s="1"/>
  <c r="Q96" i="5" s="1"/>
  <c r="O96" i="5"/>
  <c r="L86" i="5"/>
  <c r="P86" i="5" s="1"/>
  <c r="Q86" i="5" s="1"/>
  <c r="O86" i="5"/>
  <c r="L64" i="5"/>
  <c r="P64" i="5" s="1"/>
  <c r="Q64" i="5" s="1"/>
  <c r="M64" i="5"/>
  <c r="N64" i="5" s="1"/>
  <c r="O64" i="5"/>
  <c r="L22" i="5"/>
  <c r="P22" i="5" s="1"/>
  <c r="Q22" i="5" s="1"/>
  <c r="O22" i="5"/>
  <c r="E132" i="5"/>
  <c r="P132" i="5" s="1"/>
  <c r="Q132" i="5" s="1"/>
  <c r="O132" i="5"/>
  <c r="J132" i="5"/>
  <c r="H80" i="5"/>
  <c r="I80" i="5" s="1"/>
  <c r="J94" i="5"/>
  <c r="H88" i="5"/>
  <c r="I88" i="5" s="1"/>
  <c r="J120" i="5"/>
  <c r="E122" i="5"/>
  <c r="P122" i="5" s="1"/>
  <c r="Q122" i="5" s="1"/>
  <c r="O122" i="5"/>
  <c r="E106" i="5"/>
  <c r="P106" i="5" s="1"/>
  <c r="Q106" i="5" s="1"/>
  <c r="O106" i="5"/>
  <c r="L138" i="5"/>
  <c r="R138" i="5"/>
  <c r="O138" i="5"/>
  <c r="P43" i="5"/>
  <c r="Q43" i="5" s="1"/>
  <c r="P18" i="5"/>
  <c r="Q18" i="5" s="1"/>
  <c r="P11" i="5"/>
  <c r="Q11" i="5" s="1"/>
  <c r="S104" i="5"/>
  <c r="T104" i="5" s="1"/>
  <c r="P59" i="5"/>
  <c r="Q59" i="5" s="1"/>
  <c r="P45" i="5"/>
  <c r="Q45" i="5" s="1"/>
  <c r="P6" i="5"/>
  <c r="Q6" i="5" s="1"/>
  <c r="S136" i="5"/>
  <c r="T136" i="5" s="1"/>
  <c r="P55" i="5"/>
  <c r="Q55" i="5" s="1"/>
  <c r="P37" i="5"/>
  <c r="Q37" i="5" s="1"/>
  <c r="P30" i="5"/>
  <c r="Q30" i="5" s="1"/>
  <c r="S112" i="5"/>
  <c r="T112" i="5" s="1"/>
  <c r="S96" i="5"/>
  <c r="T96" i="5" s="1"/>
  <c r="O151" i="5" l="1"/>
  <c r="O152" i="5"/>
  <c r="Z153" i="5"/>
  <c r="O160" i="5"/>
  <c r="O161" i="5"/>
  <c r="Z150" i="5"/>
  <c r="Y152" i="5"/>
  <c r="Z154" i="5"/>
  <c r="O143" i="5"/>
  <c r="R143" i="5"/>
  <c r="Y155" i="5" s="1"/>
  <c r="O154" i="5"/>
  <c r="O155" i="5"/>
  <c r="O157" i="5"/>
  <c r="O158" i="5"/>
  <c r="O163" i="5"/>
  <c r="R162" i="5"/>
  <c r="O164" i="5"/>
  <c r="Y151" i="5"/>
  <c r="Y154" i="5"/>
  <c r="Y157" i="5"/>
  <c r="Y156" i="5"/>
  <c r="Z157" i="5"/>
  <c r="Z156" i="5"/>
  <c r="Z151" i="5"/>
  <c r="Y150" i="5"/>
  <c r="R163" i="5"/>
  <c r="O162" i="5"/>
  <c r="P141" i="5"/>
  <c r="Q141" i="5" s="1"/>
  <c r="O153" i="5"/>
  <c r="R154" i="5"/>
  <c r="R153" i="5"/>
  <c r="I57" i="5"/>
  <c r="B154" i="5"/>
  <c r="O156" i="5"/>
  <c r="R156" i="5"/>
  <c r="R157" i="5"/>
  <c r="I3" i="5"/>
  <c r="B151" i="5"/>
  <c r="F151" i="5" s="1"/>
  <c r="R159" i="5"/>
  <c r="R160" i="5"/>
  <c r="O159" i="5"/>
  <c r="O150" i="5"/>
  <c r="R150" i="5"/>
  <c r="R151" i="5"/>
  <c r="S99" i="5"/>
  <c r="T99" i="5" s="1"/>
  <c r="P100" i="5"/>
  <c r="Q100" i="5" s="1"/>
  <c r="K163" i="5"/>
  <c r="N163" i="5" s="1"/>
  <c r="P92" i="5"/>
  <c r="Q92" i="5" s="1"/>
  <c r="R155" i="5" s="1"/>
  <c r="P109" i="5"/>
  <c r="Q109" i="5" s="1"/>
  <c r="P83" i="5"/>
  <c r="Q83" i="5" s="1"/>
  <c r="R158" i="5" s="1"/>
  <c r="P120" i="5"/>
  <c r="Q120" i="5" s="1"/>
  <c r="J160" i="5"/>
  <c r="M160" i="5" s="1"/>
  <c r="H151" i="5"/>
  <c r="K160" i="5"/>
  <c r="N160" i="5" s="1"/>
  <c r="P105" i="5"/>
  <c r="Q105" i="5" s="1"/>
  <c r="K157" i="5"/>
  <c r="N157" i="5" s="1"/>
  <c r="K151" i="5"/>
  <c r="N151" i="5" s="1"/>
  <c r="J157" i="5"/>
  <c r="M157" i="5" s="1"/>
  <c r="I151" i="5"/>
  <c r="D160" i="5"/>
  <c r="G160" i="5" s="1"/>
  <c r="J163" i="5"/>
  <c r="M163" i="5" s="1"/>
  <c r="M170" i="5"/>
  <c r="K154" i="5"/>
  <c r="N154" i="5" s="1"/>
  <c r="I157" i="5"/>
  <c r="J154" i="5"/>
  <c r="M154" i="5" s="1"/>
  <c r="I154" i="5"/>
  <c r="H154" i="5"/>
  <c r="N170" i="5"/>
  <c r="M173" i="5"/>
  <c r="N173" i="5"/>
  <c r="I64" i="5"/>
  <c r="D154" i="5" s="1"/>
  <c r="G154" i="5" s="1"/>
  <c r="F154" i="5"/>
  <c r="B157" i="5"/>
  <c r="F157" i="5" s="1"/>
  <c r="M172" i="5"/>
  <c r="N172" i="5"/>
  <c r="I163" i="5"/>
  <c r="H163" i="5"/>
  <c r="D157" i="5"/>
  <c r="G157" i="5" s="1"/>
  <c r="B163" i="5"/>
  <c r="F163" i="5" s="1"/>
  <c r="N171" i="5"/>
  <c r="M171" i="5"/>
  <c r="D163" i="5"/>
  <c r="G163" i="5" s="1"/>
  <c r="Y165" i="5"/>
  <c r="Z165" i="5"/>
  <c r="Z166" i="5"/>
  <c r="Y166" i="5"/>
  <c r="Z167" i="5"/>
  <c r="Y167" i="5"/>
  <c r="I160" i="5"/>
  <c r="H160" i="5"/>
  <c r="B160" i="5"/>
  <c r="F160" i="5" s="1"/>
  <c r="S138" i="5"/>
  <c r="T138" i="5" s="1"/>
  <c r="AA154" i="5" s="1"/>
  <c r="P138" i="5"/>
  <c r="Q138" i="5" s="1"/>
  <c r="N174" i="5"/>
  <c r="M174" i="5"/>
  <c r="J151" i="5"/>
  <c r="M151" i="5" s="1"/>
  <c r="H157" i="5"/>
  <c r="R152" i="5" l="1"/>
  <c r="R161" i="5"/>
  <c r="Y158" i="5"/>
  <c r="R164" i="5"/>
  <c r="O172" i="5"/>
  <c r="R172" i="5" s="1"/>
  <c r="AA167" i="5"/>
  <c r="AB167" i="5" s="1"/>
  <c r="D151" i="5"/>
  <c r="G151" i="5" s="1"/>
  <c r="AA166" i="5"/>
  <c r="AB166" i="5" s="1"/>
  <c r="Z155" i="5"/>
  <c r="AA157" i="5"/>
  <c r="O170" i="5"/>
  <c r="R170" i="5" s="1"/>
  <c r="S154" i="5"/>
  <c r="O174" i="5"/>
  <c r="R174" i="5" s="1"/>
  <c r="Z158" i="5"/>
  <c r="S151" i="5"/>
  <c r="AA165" i="5"/>
  <c r="AB165" i="5" s="1"/>
  <c r="S157" i="5"/>
  <c r="AA151" i="5"/>
  <c r="S160" i="5"/>
  <c r="S163" i="5"/>
  <c r="Z152" i="5"/>
  <c r="O171" i="5"/>
  <c r="R171" i="5" s="1"/>
  <c r="O173" i="5"/>
  <c r="R17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Beckmann, Lisa</author>
  </authors>
  <commentList>
    <comment ref="B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Beckmann, From 1980, S&amp;P All Ords Accumulation Index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gcunn</author>
  </authors>
  <commentList>
    <comment ref="F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gcunn:</t>
        </r>
        <r>
          <rPr>
            <sz val="8"/>
            <color indexed="81"/>
            <rFont val="Tahoma"/>
            <family val="2"/>
          </rPr>
          <t xml:space="preserve">
Links to handley data tab - do not make chages to the inflation figures in this spreadsheet. 
</t>
        </r>
      </text>
    </comment>
    <comment ref="G2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gcunn:</t>
        </r>
        <r>
          <rPr>
            <sz val="8"/>
            <color indexed="81"/>
            <rFont val="Tahoma"/>
            <family val="2"/>
          </rPr>
          <t xml:space="preserve">
Links to Handley data tab
</t>
        </r>
      </text>
    </comment>
  </commentList>
</comments>
</file>

<file path=xl/sharedStrings.xml><?xml version="1.0" encoding="utf-8"?>
<sst xmlns="http://schemas.openxmlformats.org/spreadsheetml/2006/main" count="124" uniqueCount="97">
  <si>
    <t>Year</t>
  </si>
  <si>
    <t xml:space="preserve"> Stock accumulation index</t>
  </si>
  <si>
    <t xml:space="preserve"> Stock price index</t>
  </si>
  <si>
    <t xml:space="preserve"> Bills</t>
  </si>
  <si>
    <t xml:space="preserve"> Bonds</t>
  </si>
  <si>
    <t xml:space="preserve"> Inflation</t>
  </si>
  <si>
    <t>Real Rm</t>
  </si>
  <si>
    <t>Imputation credit yield</t>
  </si>
  <si>
    <t>Direct imputation credit yield</t>
  </si>
  <si>
    <t>Average proportion franked</t>
  </si>
  <si>
    <t>Company tax rate</t>
  </si>
  <si>
    <t xml:space="preserve">Stock accumulation index </t>
  </si>
  <si>
    <t>Theta</t>
  </si>
  <si>
    <t>Data from ATO and Treasury, calculations follow BHM (2012)</t>
  </si>
  <si>
    <t>Real Rm + 1</t>
  </si>
  <si>
    <t>Real rm + 1</t>
  </si>
  <si>
    <t>Real Rm (Arithmetic )</t>
  </si>
  <si>
    <t>Real Rm (Geometric)</t>
  </si>
  <si>
    <t>MRP (Geometric)</t>
  </si>
  <si>
    <t>MRP (Arithmetic )</t>
  </si>
  <si>
    <t>Real Rm (geometric)</t>
  </si>
  <si>
    <t>Nominal Rm (Geometric)</t>
  </si>
  <si>
    <t>Nominal Rm (Arithmetic )</t>
  </si>
  <si>
    <t>Inflation assumption</t>
  </si>
  <si>
    <t>MRP For GEOMEAN</t>
  </si>
  <si>
    <t>Standard Dev</t>
  </si>
  <si>
    <t>Number of cells</t>
  </si>
  <si>
    <t>Standard error</t>
  </si>
  <si>
    <t>Standard error (%)</t>
  </si>
  <si>
    <t>Sampling period</t>
  </si>
  <si>
    <t>Arithmetic average</t>
  </si>
  <si>
    <t>Geometric average</t>
  </si>
  <si>
    <r>
      <t>*</t>
    </r>
    <r>
      <rPr>
        <sz val="12"/>
        <color theme="1"/>
        <rFont val="Arial Narrow"/>
        <family val="2"/>
      </rPr>
      <t>Assumed standard deviation of sample</t>
    </r>
  </si>
  <si>
    <t>1883-2021</t>
  </si>
  <si>
    <t>1937-2021</t>
  </si>
  <si>
    <t>1958-2021</t>
  </si>
  <si>
    <t>1980-2021</t>
  </si>
  <si>
    <t>1988-2021</t>
  </si>
  <si>
    <t>MRP (Geometric) - 10Y</t>
  </si>
  <si>
    <t>MRP (Arithmetic ) - 10Y</t>
  </si>
  <si>
    <t>1972-2021</t>
  </si>
  <si>
    <t>MRP (Geometric) - 5Y</t>
  </si>
  <si>
    <t>MRP (Arithmetic ) - 5Y</t>
  </si>
  <si>
    <t>MRP For GEOMEAN - 10y</t>
  </si>
  <si>
    <t>10Y Bonds</t>
  </si>
  <si>
    <t>5 yr Bonds</t>
  </si>
  <si>
    <t>MRP For GEOMEAN - 5y</t>
  </si>
  <si>
    <t>Sample period</t>
  </si>
  <si>
    <t>10Y term</t>
  </si>
  <si>
    <t>5Y term</t>
  </si>
  <si>
    <t>Historical excess returns (per cent) - 10Y term</t>
  </si>
  <si>
    <t>Historical excess returns (per cent) - 5Y term</t>
  </si>
  <si>
    <t>Stock Accumalation Data</t>
  </si>
  <si>
    <t>1)</t>
  </si>
  <si>
    <t>2)</t>
  </si>
  <si>
    <t>All data pre 2012</t>
  </si>
  <si>
    <t>3)</t>
  </si>
  <si>
    <t>All data pre 2011 (Additional source)</t>
  </si>
  <si>
    <t>4)</t>
  </si>
  <si>
    <t>5)</t>
  </si>
  <si>
    <t>Bond data interpolated from RBA table F16</t>
  </si>
  <si>
    <t>Inflation data from ABS ( Table 1 and 2)</t>
  </si>
  <si>
    <t>6)</t>
  </si>
  <si>
    <t xml:space="preserve">Imputation credits from ATO </t>
  </si>
  <si>
    <t>Data direct from BHM (2012) - except for 2012-2021 figures</t>
  </si>
  <si>
    <t>quarterly 10Y arithmetic rates</t>
  </si>
  <si>
    <t>quarterly 5Y arithmetic rates</t>
  </si>
  <si>
    <t xml:space="preserve">using quarterly data annual arithmetic calculations (cross check)
</t>
  </si>
  <si>
    <t>1883-2019</t>
  </si>
  <si>
    <t>1937-2019</t>
  </si>
  <si>
    <t>1958-2019</t>
  </si>
  <si>
    <t>1980-2019</t>
  </si>
  <si>
    <t>1988-2019</t>
  </si>
  <si>
    <t xml:space="preserve">MRP Arithmetic 10Y calculated using quarterly data annual arithmetic calculations (as a cross check)
</t>
  </si>
  <si>
    <t>1972-2019</t>
  </si>
  <si>
    <t>2022(Sep) for quarterly arithmetic calculations</t>
  </si>
  <si>
    <t>2022 (assumed to Dec for Geomean calculations)</t>
  </si>
  <si>
    <t>Stock accumulation quarterly arithmetic return</t>
  </si>
  <si>
    <t>Quarterly arithemtic MRP 10Y</t>
  </si>
  <si>
    <t>Quarterly arithmetic MRP 10Y multiplied by the number of quarters</t>
  </si>
  <si>
    <t>Quarterly arithemtic MRP 5Y</t>
  </si>
  <si>
    <t>1883-2022 (end Sept 2022 for arithmetic returns)</t>
  </si>
  <si>
    <t>1937-2022 (end Sept 2022 for arithmetic returns)</t>
  </si>
  <si>
    <t>1958-2022 (end Sept 2022 for arithmetic returns)</t>
  </si>
  <si>
    <t>1980-2022 (end Sept 2022 for arithmetic returns)</t>
  </si>
  <si>
    <t>1988-2022 (end Sept 2022 for arithmetic returns)</t>
  </si>
  <si>
    <t>1972-2022 (end Sept 2022 for arithmetic returns)</t>
  </si>
  <si>
    <t xml:space="preserve">Quarterly arithmetic MRP 5Y multiplied by the number of quarters
</t>
  </si>
  <si>
    <t xml:space="preserve">1883-2022 </t>
  </si>
  <si>
    <t xml:space="preserve">1937-2022 </t>
  </si>
  <si>
    <t xml:space="preserve">1958-2022 </t>
  </si>
  <si>
    <t xml:space="preserve">1980-2022 </t>
  </si>
  <si>
    <t xml:space="preserve">1988-2022 </t>
  </si>
  <si>
    <t xml:space="preserve">1972-2022 </t>
  </si>
  <si>
    <t>Notes:</t>
  </si>
  <si>
    <t>The Arithmetic annual returns have been calculated using actual return data to the end of September 2022</t>
  </si>
  <si>
    <t>The Geometric annual returns have been estimated using actual data to the end of September 2022 and an assumed return for the final quarter of the 2022 calander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</si>
</sst>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.00_);_(* \(#,##0.00\);_(* &quot;-&quot;??_);_(@_)"/>
    <numFmt numFmtId="165" formatCode="0.0000"/>
    <numFmt numFmtId="166" formatCode="0.000"/>
    <numFmt numFmtId="167" formatCode="0.000000"/>
    <numFmt numFmtId="168" formatCode="0.0%"/>
    <numFmt numFmtId="169" formatCode="0.0"/>
    <numFmt numFmtId="170" formatCode="_-* #,##0.00000000_-;\-* #,##0.00000000_-;_-* &quot;-&quot;??_-;_-@_-"/>
    <numFmt numFmtId="171" formatCode="_(* #,##0.0000_);_(* \(#,##0.0000\);_(* &quot;-&quot;??_);_(@_)"/>
    <numFmt numFmtId="172" formatCode="_-* #,##0.0000_-;\-* #,##0.0000_-;_-* &quot;-&quot;??_-;_-@_-"/>
    <numFmt numFmtId="173" formatCode="0.000%"/>
    <numFmt numFmtId="174" formatCode="0.0000000"/>
    <numFmt numFmtId="175" formatCode="_(* #,##0.000_);_(* \(#,##0.000\);_(* &quot;-&quot;??_);_(@_)"/>
    <numFmt numFmtId="176" formatCode="_(* #,##0.00000_);_(* \(#,##0.00000\);_(* &quot;-&quot;??_);_(@_)"/>
    <numFmt numFmtId="177" formatCode="0.00000"/>
    <numFmt numFmtId="178" formatCode="0.00000000"/>
    <numFmt numFmtId="179" formatCode="0.000000%"/>
    <numFmt numFmtId="180" formatCode="_(* #,##0.000000_);_(* \(#,##0.000000\);_(* &quot;-&quot;??_);_(@_)"/>
  </numFmts>
  <fonts count="4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22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2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76A92"/>
      <name val="Arial"/>
      <family val="2"/>
    </font>
    <font>
      <sz val="8"/>
      <color theme="1"/>
      <name val="Arial"/>
      <family val="2"/>
    </font>
    <font>
      <sz val="8"/>
      <color rgb="FFFFFFFF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12"/>
      <color rgb="FF00B050"/>
      <name val="Arial Narrow"/>
      <family val="2"/>
    </font>
    <font>
      <sz val="12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3">
    <xf numFmtId="0" fontId="0" fillId="0" borderId="0"/>
    <xf numFmtId="0" fontId="3" fillId="0" borderId="0"/>
    <xf numFmtId="0" fontId="5" fillId="0" borderId="0"/>
    <xf numFmtId="0" fontId="4" fillId="3" borderId="4" applyNumberFormat="0" applyFont="0" applyAlignment="0" applyProtection="0"/>
    <xf numFmtId="0" fontId="6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3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9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4" borderId="11" applyNumberFormat="0" applyAlignment="0" applyProtection="0"/>
    <xf numFmtId="0" fontId="12" fillId="18" borderId="12" applyNumberFormat="0" applyAlignment="0" applyProtection="0"/>
    <xf numFmtId="0" fontId="13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9" fillId="5" borderId="11" applyNumberFormat="0" applyAlignment="0" applyProtection="0"/>
    <xf numFmtId="0" fontId="20" fillId="0" borderId="16" applyNumberFormat="0" applyFill="0" applyAlignment="0" applyProtection="0"/>
    <xf numFmtId="0" fontId="21" fillId="10" borderId="0" applyNumberFormat="0" applyBorder="0" applyAlignment="0" applyProtection="0"/>
    <xf numFmtId="0" fontId="8" fillId="6" borderId="17" applyNumberFormat="0" applyFont="0" applyAlignment="0" applyProtection="0"/>
    <xf numFmtId="0" fontId="22" fillId="4" borderId="18" applyNumberFormat="0" applyAlignment="0" applyProtection="0"/>
    <xf numFmtId="0" fontId="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8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33" fillId="0" borderId="0"/>
    <xf numFmtId="0" fontId="33" fillId="0" borderId="0" applyNumberFormat="0" applyFill="0" applyBorder="0" applyAlignment="0" applyProtection="0"/>
    <xf numFmtId="0" fontId="34" fillId="0" borderId="0"/>
    <xf numFmtId="0" fontId="34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/>
    <xf numFmtId="0" fontId="30" fillId="0" borderId="0" xfId="0" applyFont="1" applyAlignment="1">
      <alignment vertical="center"/>
    </xf>
    <xf numFmtId="0" fontId="32" fillId="20" borderId="0" xfId="0" applyFont="1" applyFill="1" applyAlignment="1">
      <alignment vertical="center"/>
    </xf>
    <xf numFmtId="0" fontId="32" fillId="20" borderId="0" xfId="0" applyFont="1" applyFill="1" applyAlignment="1">
      <alignment horizontal="right" vertical="center"/>
    </xf>
    <xf numFmtId="0" fontId="31" fillId="0" borderId="0" xfId="0" applyFont="1" applyAlignment="1">
      <alignment vertical="center" wrapText="1"/>
    </xf>
    <xf numFmtId="0" fontId="31" fillId="21" borderId="0" xfId="0" applyFont="1" applyFill="1" applyAlignment="1">
      <alignment vertical="center" wrapText="1"/>
    </xf>
    <xf numFmtId="169" fontId="31" fillId="0" borderId="0" xfId="0" applyNumberFormat="1" applyFont="1" applyAlignment="1">
      <alignment vertical="center"/>
    </xf>
    <xf numFmtId="169" fontId="31" fillId="21" borderId="0" xfId="0" applyNumberFormat="1" applyFont="1" applyFill="1" applyAlignment="1">
      <alignment vertical="center"/>
    </xf>
    <xf numFmtId="0" fontId="36" fillId="0" borderId="0" xfId="0" applyFont="1"/>
    <xf numFmtId="0" fontId="36" fillId="0" borderId="0" xfId="0" applyFont="1" applyBorder="1"/>
    <xf numFmtId="0" fontId="35" fillId="0" borderId="0" xfId="0" applyFont="1"/>
    <xf numFmtId="0" fontId="35" fillId="0" borderId="1" xfId="0" applyFont="1" applyBorder="1"/>
    <xf numFmtId="0" fontId="35" fillId="0" borderId="0" xfId="0" applyFont="1" applyBorder="1"/>
    <xf numFmtId="167" fontId="37" fillId="0" borderId="0" xfId="2" applyNumberFormat="1" applyFont="1" applyAlignment="1">
      <alignment horizontal="center"/>
    </xf>
    <xf numFmtId="0" fontId="35" fillId="0" borderId="0" xfId="0" applyFont="1" applyFill="1" applyBorder="1"/>
    <xf numFmtId="166" fontId="35" fillId="0" borderId="0" xfId="0" applyNumberFormat="1" applyFont="1" applyBorder="1"/>
    <xf numFmtId="166" fontId="36" fillId="0" borderId="0" xfId="0" applyNumberFormat="1" applyFont="1" applyBorder="1"/>
    <xf numFmtId="0" fontId="40" fillId="0" borderId="0" xfId="0" applyFont="1"/>
    <xf numFmtId="0" fontId="39" fillId="0" borderId="0" xfId="0" applyFont="1" applyAlignment="1">
      <alignment wrapText="1"/>
    </xf>
    <xf numFmtId="0" fontId="39" fillId="0" borderId="1" xfId="0" applyFont="1" applyFill="1" applyBorder="1" applyAlignment="1">
      <alignment wrapText="1"/>
    </xf>
    <xf numFmtId="0" fontId="39" fillId="0" borderId="0" xfId="0" applyFont="1" applyFill="1" applyAlignment="1">
      <alignment wrapText="1"/>
    </xf>
    <xf numFmtId="0" fontId="39" fillId="0" borderId="0" xfId="0" applyFont="1"/>
    <xf numFmtId="2" fontId="40" fillId="0" borderId="1" xfId="0" applyNumberFormat="1" applyFont="1" applyFill="1" applyBorder="1"/>
    <xf numFmtId="2" fontId="39" fillId="0" borderId="0" xfId="0" applyNumberFormat="1" applyFont="1" applyFill="1"/>
    <xf numFmtId="2" fontId="40" fillId="0" borderId="0" xfId="0" applyNumberFormat="1" applyFont="1" applyFill="1"/>
    <xf numFmtId="2" fontId="40" fillId="0" borderId="3" xfId="0" applyNumberFormat="1" applyFont="1" applyFill="1" applyBorder="1"/>
    <xf numFmtId="168" fontId="40" fillId="0" borderId="0" xfId="5" applyNumberFormat="1" applyFont="1"/>
    <xf numFmtId="2" fontId="40" fillId="0" borderId="0" xfId="0" applyNumberFormat="1" applyFont="1" applyFill="1" applyBorder="1"/>
    <xf numFmtId="0" fontId="39" fillId="0" borderId="0" xfId="0" applyFont="1" applyBorder="1"/>
    <xf numFmtId="2" fontId="39" fillId="0" borderId="0" xfId="0" applyNumberFormat="1" applyFont="1" applyFill="1" applyBorder="1"/>
    <xf numFmtId="0" fontId="39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39" fillId="2" borderId="5" xfId="0" applyFont="1" applyFill="1" applyBorder="1" applyAlignment="1"/>
    <xf numFmtId="0" fontId="39" fillId="2" borderId="6" xfId="0" applyFont="1" applyFill="1" applyBorder="1" applyAlignment="1">
      <alignment wrapText="1"/>
    </xf>
    <xf numFmtId="0" fontId="39" fillId="2" borderId="7" xfId="0" applyFont="1" applyFill="1" applyBorder="1" applyAlignment="1">
      <alignment wrapText="1"/>
    </xf>
    <xf numFmtId="0" fontId="40" fillId="0" borderId="0" xfId="0" applyFont="1" applyAlignment="1">
      <alignment wrapText="1"/>
    </xf>
    <xf numFmtId="0" fontId="39" fillId="0" borderId="0" xfId="0" applyFont="1" applyFill="1"/>
    <xf numFmtId="0" fontId="40" fillId="0" borderId="2" xfId="0" applyFont="1" applyBorder="1"/>
    <xf numFmtId="2" fontId="40" fillId="0" borderId="2" xfId="0" applyNumberFormat="1" applyFont="1" applyBorder="1"/>
    <xf numFmtId="0" fontId="41" fillId="22" borderId="6" xfId="0" applyFont="1" applyFill="1" applyBorder="1" applyAlignment="1">
      <alignment horizontal="right" indent="1"/>
    </xf>
    <xf numFmtId="0" fontId="41" fillId="22" borderId="6" xfId="0" applyFont="1" applyFill="1" applyBorder="1" applyAlignment="1"/>
    <xf numFmtId="164" fontId="40" fillId="0" borderId="0" xfId="62" applyFont="1"/>
    <xf numFmtId="164" fontId="40" fillId="0" borderId="3" xfId="62" applyFont="1" applyBorder="1"/>
    <xf numFmtId="164" fontId="40" fillId="0" borderId="0" xfId="62" applyFont="1" applyFill="1" applyBorder="1"/>
    <xf numFmtId="164" fontId="40" fillId="0" borderId="3" xfId="62" applyFont="1" applyFill="1" applyBorder="1"/>
    <xf numFmtId="164" fontId="40" fillId="0" borderId="0" xfId="62" applyFont="1" applyFill="1"/>
    <xf numFmtId="0" fontId="40" fillId="0" borderId="21" xfId="0" applyFont="1" applyBorder="1" applyAlignment="1">
      <alignment wrapText="1"/>
    </xf>
    <xf numFmtId="0" fontId="39" fillId="0" borderId="0" xfId="0" applyFont="1" applyFill="1" applyBorder="1" applyAlignment="1">
      <alignment wrapText="1"/>
    </xf>
    <xf numFmtId="166" fontId="39" fillId="0" borderId="0" xfId="0" applyNumberFormat="1" applyFont="1" applyFill="1" applyBorder="1" applyAlignment="1">
      <alignment wrapText="1"/>
    </xf>
    <xf numFmtId="166" fontId="40" fillId="0" borderId="0" xfId="0" applyNumberFormat="1" applyFont="1" applyFill="1" applyBorder="1"/>
    <xf numFmtId="0" fontId="39" fillId="0" borderId="20" xfId="0" applyFont="1" applyFill="1" applyBorder="1"/>
    <xf numFmtId="166" fontId="40" fillId="0" borderId="20" xfId="0" applyNumberFormat="1" applyFont="1" applyFill="1" applyBorder="1"/>
    <xf numFmtId="0" fontId="39" fillId="23" borderId="2" xfId="0" applyFont="1" applyFill="1" applyBorder="1"/>
    <xf numFmtId="0" fontId="39" fillId="23" borderId="2" xfId="0" applyFont="1" applyFill="1" applyBorder="1" applyAlignment="1">
      <alignment horizontal="center" wrapText="1"/>
    </xf>
    <xf numFmtId="170" fontId="40" fillId="0" borderId="2" xfId="62" applyNumberFormat="1" applyFont="1" applyBorder="1"/>
    <xf numFmtId="0" fontId="41" fillId="22" borderId="21" xfId="0" applyFont="1" applyFill="1" applyBorder="1" applyAlignment="1">
      <alignment horizontal="center" wrapText="1"/>
    </xf>
    <xf numFmtId="166" fontId="41" fillId="22" borderId="21" xfId="0" applyNumberFormat="1" applyFont="1" applyFill="1" applyBorder="1" applyAlignment="1">
      <alignment horizontal="center" wrapText="1"/>
    </xf>
    <xf numFmtId="164" fontId="36" fillId="0" borderId="20" xfId="62" applyNumberFormat="1" applyFont="1" applyFill="1" applyBorder="1"/>
    <xf numFmtId="166" fontId="42" fillId="0" borderId="20" xfId="0" applyNumberFormat="1" applyFont="1" applyFill="1" applyBorder="1"/>
    <xf numFmtId="2" fontId="40" fillId="0" borderId="0" xfId="0" applyNumberFormat="1" applyFont="1"/>
    <xf numFmtId="172" fontId="40" fillId="0" borderId="0" xfId="0" applyNumberFormat="1" applyFont="1"/>
    <xf numFmtId="10" fontId="40" fillId="0" borderId="0" xfId="5" applyNumberFormat="1" applyFont="1" applyFill="1"/>
    <xf numFmtId="168" fontId="40" fillId="0" borderId="0" xfId="5" applyNumberFormat="1" applyFont="1" applyFill="1"/>
    <xf numFmtId="165" fontId="40" fillId="0" borderId="0" xfId="0" applyNumberFormat="1" applyFont="1" applyFill="1"/>
    <xf numFmtId="171" fontId="40" fillId="0" borderId="0" xfId="62" applyNumberFormat="1" applyFont="1" applyFill="1"/>
    <xf numFmtId="171" fontId="43" fillId="0" borderId="0" xfId="62" applyNumberFormat="1" applyFont="1" applyFill="1"/>
    <xf numFmtId="0" fontId="40" fillId="0" borderId="0" xfId="0" applyFont="1" applyFill="1" applyAlignment="1">
      <alignment wrapText="1"/>
    </xf>
    <xf numFmtId="10" fontId="0" fillId="0" borderId="0" xfId="0" applyNumberFormat="1"/>
    <xf numFmtId="173" fontId="0" fillId="0" borderId="0" xfId="5" applyNumberFormat="1" applyFont="1"/>
    <xf numFmtId="174" fontId="0" fillId="0" borderId="0" xfId="0" applyNumberFormat="1"/>
    <xf numFmtId="10" fontId="40" fillId="0" borderId="0" xfId="5" applyNumberFormat="1" applyFont="1"/>
    <xf numFmtId="0" fontId="35" fillId="0" borderId="0" xfId="0" applyFont="1" applyFill="1"/>
    <xf numFmtId="165" fontId="36" fillId="0" borderId="0" xfId="0" applyNumberFormat="1" applyFont="1" applyBorder="1"/>
    <xf numFmtId="175" fontId="36" fillId="0" borderId="20" xfId="62" applyNumberFormat="1" applyFont="1" applyBorder="1"/>
    <xf numFmtId="175" fontId="36" fillId="0" borderId="20" xfId="62" applyNumberFormat="1" applyFont="1" applyBorder="1" applyAlignment="1">
      <alignment horizontal="right"/>
    </xf>
    <xf numFmtId="175" fontId="36" fillId="0" borderId="20" xfId="62" applyNumberFormat="1" applyFont="1" applyFill="1" applyBorder="1"/>
    <xf numFmtId="175" fontId="37" fillId="0" borderId="20" xfId="62" applyNumberFormat="1" applyFont="1" applyBorder="1" applyAlignment="1">
      <alignment horizontal="center"/>
    </xf>
    <xf numFmtId="175" fontId="37" fillId="0" borderId="20" xfId="62" applyNumberFormat="1" applyFont="1" applyFill="1" applyBorder="1"/>
    <xf numFmtId="175" fontId="36" fillId="0" borderId="20" xfId="62" applyNumberFormat="1" applyFont="1" applyFill="1" applyBorder="1" applyAlignment="1">
      <alignment horizontal="right"/>
    </xf>
    <xf numFmtId="0" fontId="41" fillId="22" borderId="0" xfId="0" applyFont="1" applyFill="1" applyBorder="1" applyAlignment="1"/>
    <xf numFmtId="0" fontId="41" fillId="22" borderId="23" xfId="0" applyFont="1" applyFill="1" applyBorder="1" applyAlignment="1">
      <alignment horizontal="right"/>
    </xf>
    <xf numFmtId="0" fontId="41" fillId="22" borderId="24" xfId="0" applyFont="1" applyFill="1" applyBorder="1"/>
    <xf numFmtId="0" fontId="41" fillId="22" borderId="25" xfId="0" applyFont="1" applyFill="1" applyBorder="1" applyAlignment="1"/>
    <xf numFmtId="0" fontId="39" fillId="2" borderId="6" xfId="0" applyFont="1" applyFill="1" applyBorder="1" applyAlignment="1"/>
    <xf numFmtId="0" fontId="39" fillId="0" borderId="0" xfId="0" applyFont="1" applyAlignment="1">
      <alignment horizontal="center" wrapText="1"/>
    </xf>
    <xf numFmtId="164" fontId="40" fillId="0" borderId="0" xfId="62" applyFont="1" applyBorder="1"/>
    <xf numFmtId="0" fontId="39" fillId="0" borderId="8" xfId="0" applyFont="1" applyFill="1" applyBorder="1" applyAlignment="1">
      <alignment wrapText="1"/>
    </xf>
    <xf numFmtId="0" fontId="39" fillId="0" borderId="10" xfId="0" applyFont="1" applyFill="1" applyBorder="1" applyAlignment="1">
      <alignment wrapText="1"/>
    </xf>
    <xf numFmtId="0" fontId="39" fillId="0" borderId="9" xfId="0" applyFont="1" applyFill="1" applyBorder="1" applyAlignment="1">
      <alignment wrapText="1"/>
    </xf>
    <xf numFmtId="0" fontId="6" fillId="0" borderId="0" xfId="4" applyBorder="1"/>
    <xf numFmtId="0" fontId="36" fillId="0" borderId="0" xfId="0" applyFont="1" applyBorder="1" applyAlignment="1">
      <alignment horizontal="right"/>
    </xf>
    <xf numFmtId="166" fontId="6" fillId="0" borderId="0" xfId="4" applyNumberFormat="1" applyBorder="1"/>
    <xf numFmtId="0" fontId="35" fillId="0" borderId="26" xfId="0" applyFont="1" applyBorder="1"/>
    <xf numFmtId="175" fontId="36" fillId="0" borderId="27" xfId="62" applyNumberFormat="1" applyFont="1" applyBorder="1"/>
    <xf numFmtId="175" fontId="36" fillId="0" borderId="27" xfId="62" applyNumberFormat="1" applyFont="1" applyFill="1" applyBorder="1"/>
    <xf numFmtId="0" fontId="35" fillId="0" borderId="26" xfId="0" applyFont="1" applyFill="1" applyBorder="1"/>
    <xf numFmtId="164" fontId="36" fillId="0" borderId="27" xfId="62" applyNumberFormat="1" applyFont="1" applyFill="1" applyBorder="1"/>
    <xf numFmtId="176" fontId="36" fillId="0" borderId="20" xfId="62" applyNumberFormat="1" applyFont="1" applyFill="1" applyBorder="1"/>
    <xf numFmtId="176" fontId="36" fillId="0" borderId="20" xfId="62" applyNumberFormat="1" applyFont="1" applyBorder="1"/>
    <xf numFmtId="175" fontId="36" fillId="0" borderId="0" xfId="0" applyNumberFormat="1" applyFont="1" applyBorder="1"/>
    <xf numFmtId="176" fontId="36" fillId="0" borderId="0" xfId="0" applyNumberFormat="1" applyFont="1" applyBorder="1"/>
    <xf numFmtId="177" fontId="42" fillId="0" borderId="0" xfId="0" applyNumberFormat="1" applyFont="1" applyFill="1" applyBorder="1"/>
    <xf numFmtId="165" fontId="40" fillId="0" borderId="0" xfId="0" applyNumberFormat="1" applyFont="1" applyFill="1" applyBorder="1"/>
    <xf numFmtId="177" fontId="42" fillId="0" borderId="20" xfId="0" applyNumberFormat="1" applyFont="1" applyFill="1" applyBorder="1"/>
    <xf numFmtId="177" fontId="40" fillId="0" borderId="0" xfId="0" applyNumberFormat="1" applyFont="1" applyFill="1" applyBorder="1"/>
    <xf numFmtId="174" fontId="40" fillId="0" borderId="0" xfId="0" applyNumberFormat="1" applyFont="1" applyFill="1" applyBorder="1"/>
    <xf numFmtId="0" fontId="41" fillId="22" borderId="24" xfId="0" applyFont="1" applyFill="1" applyBorder="1" applyAlignment="1">
      <alignment horizontal="right"/>
    </xf>
    <xf numFmtId="0" fontId="39" fillId="2" borderId="0" xfId="0" applyFont="1" applyFill="1" applyBorder="1" applyAlignment="1">
      <alignment horizontal="center" wrapText="1"/>
    </xf>
    <xf numFmtId="0" fontId="41" fillId="22" borderId="0" xfId="0" applyFont="1" applyFill="1" applyBorder="1" applyAlignment="1">
      <alignment horizontal="center"/>
    </xf>
    <xf numFmtId="0" fontId="39" fillId="23" borderId="0" xfId="0" applyFont="1" applyFill="1" applyBorder="1" applyAlignment="1">
      <alignment horizontal="center" wrapText="1"/>
    </xf>
    <xf numFmtId="2" fontId="40" fillId="0" borderId="0" xfId="0" applyNumberFormat="1" applyFont="1" applyBorder="1"/>
    <xf numFmtId="167" fontId="39" fillId="0" borderId="0" xfId="0" applyNumberFormat="1" applyFont="1" applyFill="1" applyBorder="1"/>
    <xf numFmtId="179" fontId="40" fillId="0" borderId="0" xfId="5" applyNumberFormat="1" applyFont="1" applyFill="1"/>
    <xf numFmtId="178" fontId="40" fillId="0" borderId="0" xfId="0" applyNumberFormat="1" applyFont="1"/>
    <xf numFmtId="176" fontId="40" fillId="0" borderId="0" xfId="62" applyNumberFormat="1" applyFont="1" applyFill="1" applyBorder="1"/>
    <xf numFmtId="177" fontId="42" fillId="0" borderId="0" xfId="0" applyNumberFormat="1" applyFont="1"/>
    <xf numFmtId="171" fontId="40" fillId="0" borderId="0" xfId="62" applyNumberFormat="1" applyFont="1" applyFill="1" applyBorder="1"/>
    <xf numFmtId="166" fontId="42" fillId="0" borderId="0" xfId="0" applyNumberFormat="1" applyFont="1" applyFill="1" applyBorder="1"/>
    <xf numFmtId="0" fontId="40" fillId="0" borderId="0" xfId="0" applyFont="1" applyBorder="1" applyAlignment="1">
      <alignment wrapText="1"/>
    </xf>
    <xf numFmtId="166" fontId="40" fillId="0" borderId="0" xfId="0" applyNumberFormat="1" applyFont="1" applyBorder="1" applyAlignment="1">
      <alignment wrapText="1"/>
    </xf>
    <xf numFmtId="165" fontId="40" fillId="0" borderId="1" xfId="0" applyNumberFormat="1" applyFont="1" applyFill="1" applyBorder="1"/>
    <xf numFmtId="174" fontId="42" fillId="0" borderId="0" xfId="0" applyNumberFormat="1" applyFont="1" applyFill="1" applyBorder="1"/>
    <xf numFmtId="167" fontId="42" fillId="0" borderId="20" xfId="0" applyNumberFormat="1" applyFont="1" applyFill="1" applyBorder="1"/>
    <xf numFmtId="167" fontId="42" fillId="0" borderId="0" xfId="0" applyNumberFormat="1" applyFont="1" applyFill="1" applyBorder="1"/>
    <xf numFmtId="180" fontId="40" fillId="0" borderId="0" xfId="62" applyNumberFormat="1" applyFont="1" applyFill="1" applyBorder="1"/>
    <xf numFmtId="0" fontId="39" fillId="0" borderId="0" xfId="0" applyFont="1" applyBorder="1" applyAlignment="1">
      <alignment wrapText="1"/>
    </xf>
    <xf numFmtId="0" fontId="38" fillId="22" borderId="0" xfId="0" applyFont="1" applyFill="1" applyAlignment="1">
      <alignment horizontal="center"/>
    </xf>
    <xf numFmtId="0" fontId="38" fillId="22" borderId="3" xfId="0" applyFont="1" applyFill="1" applyBorder="1" applyAlignment="1">
      <alignment horizontal="center"/>
    </xf>
    <xf numFmtId="0" fontId="38" fillId="22" borderId="1" xfId="0" applyFont="1" applyFill="1" applyBorder="1" applyAlignment="1">
      <alignment horizontal="center"/>
    </xf>
    <xf numFmtId="0" fontId="38" fillId="22" borderId="0" xfId="0" applyFont="1" applyFill="1" applyBorder="1" applyAlignment="1">
      <alignment horizontal="center"/>
    </xf>
    <xf numFmtId="0" fontId="41" fillId="22" borderId="22" xfId="0" applyFont="1" applyFill="1" applyBorder="1" applyAlignment="1">
      <alignment horizontal="center"/>
    </xf>
    <xf numFmtId="1" fontId="39" fillId="2" borderId="5" xfId="0" applyNumberFormat="1" applyFont="1" applyFill="1" applyBorder="1" applyAlignment="1">
      <alignment horizontal="center" wrapText="1"/>
    </xf>
    <xf numFmtId="1" fontId="39" fillId="2" borderId="6" xfId="0" applyNumberFormat="1" applyFont="1" applyFill="1" applyBorder="1" applyAlignment="1">
      <alignment horizontal="center" wrapText="1"/>
    </xf>
    <xf numFmtId="0" fontId="41" fillId="22" borderId="5" xfId="0" applyFont="1" applyFill="1" applyBorder="1" applyAlignment="1">
      <alignment horizontal="center"/>
    </xf>
    <xf numFmtId="0" fontId="41" fillId="22" borderId="6" xfId="0" applyFont="1" applyFill="1" applyBorder="1" applyAlignment="1">
      <alignment horizontal="center"/>
    </xf>
    <xf numFmtId="0" fontId="41" fillId="22" borderId="7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 wrapText="1"/>
    </xf>
    <xf numFmtId="0" fontId="39" fillId="2" borderId="6" xfId="0" applyFont="1" applyFill="1" applyBorder="1" applyAlignment="1">
      <alignment horizontal="center" wrapText="1"/>
    </xf>
    <xf numFmtId="0" fontId="39" fillId="2" borderId="7" xfId="0" applyFont="1" applyFill="1" applyBorder="1" applyAlignment="1">
      <alignment horizontal="center" wrapText="1"/>
    </xf>
    <xf numFmtId="0" fontId="44" fillId="0" borderId="0" xfId="0" applyFont="1"/>
    <xf numFmtId="0" fontId="45" fillId="0" borderId="0" xfId="0" applyFont="1"/>
  </cellXfs>
  <cellStyles count="63">
    <cellStyle name="_x000a_bidires=100_x000d_" xfId="7" xr:uid="{00000000-0005-0000-0000-000000000000}"/>
    <cellStyle name="20% - Accent1 2" xfId="8" xr:uid="{00000000-0005-0000-0000-000001000000}"/>
    <cellStyle name="20% - Accent2 2" xfId="9" xr:uid="{00000000-0005-0000-0000-000002000000}"/>
    <cellStyle name="20% - Accent3 2" xfId="10" xr:uid="{00000000-0005-0000-0000-000003000000}"/>
    <cellStyle name="20% - Accent4 2" xfId="11" xr:uid="{00000000-0005-0000-0000-000004000000}"/>
    <cellStyle name="20% - Accent5 2" xfId="12" xr:uid="{00000000-0005-0000-0000-000005000000}"/>
    <cellStyle name="20% - Accent6 2" xfId="13" xr:uid="{00000000-0005-0000-0000-000006000000}"/>
    <cellStyle name="40% - Accent1 2" xfId="14" xr:uid="{00000000-0005-0000-0000-000007000000}"/>
    <cellStyle name="40% - Accent2 2" xfId="15" xr:uid="{00000000-0005-0000-0000-000008000000}"/>
    <cellStyle name="40% - Accent3 2" xfId="16" xr:uid="{00000000-0005-0000-0000-000009000000}"/>
    <cellStyle name="40% - Accent4 2" xfId="17" xr:uid="{00000000-0005-0000-0000-00000A000000}"/>
    <cellStyle name="40% - Accent5 2" xfId="18" xr:uid="{00000000-0005-0000-0000-00000B000000}"/>
    <cellStyle name="40% - Accent6 2" xfId="19" xr:uid="{00000000-0005-0000-0000-00000C000000}"/>
    <cellStyle name="60% - Accent1 2" xfId="20" xr:uid="{00000000-0005-0000-0000-00000D000000}"/>
    <cellStyle name="60% - Accent2 2" xfId="21" xr:uid="{00000000-0005-0000-0000-00000E000000}"/>
    <cellStyle name="60% - Accent3 2" xfId="22" xr:uid="{00000000-0005-0000-0000-00000F000000}"/>
    <cellStyle name="60% - Accent4 2" xfId="23" xr:uid="{00000000-0005-0000-0000-000010000000}"/>
    <cellStyle name="60% - Accent5 2" xfId="24" xr:uid="{00000000-0005-0000-0000-000011000000}"/>
    <cellStyle name="60% - Accent6 2" xfId="25" xr:uid="{00000000-0005-0000-0000-000012000000}"/>
    <cellStyle name="Accent1 2" xfId="26" xr:uid="{00000000-0005-0000-0000-000013000000}"/>
    <cellStyle name="Accent2 2" xfId="27" xr:uid="{00000000-0005-0000-0000-000014000000}"/>
    <cellStyle name="Accent3 2" xfId="28" xr:uid="{00000000-0005-0000-0000-000015000000}"/>
    <cellStyle name="Accent4 2" xfId="29" xr:uid="{00000000-0005-0000-0000-000016000000}"/>
    <cellStyle name="Accent5 2" xfId="30" xr:uid="{00000000-0005-0000-0000-000017000000}"/>
    <cellStyle name="Accent6 2" xfId="31" xr:uid="{00000000-0005-0000-0000-000018000000}"/>
    <cellStyle name="Bad 2" xfId="32" xr:uid="{00000000-0005-0000-0000-000019000000}"/>
    <cellStyle name="Calculation 2" xfId="33" xr:uid="{00000000-0005-0000-0000-00001A000000}"/>
    <cellStyle name="Check Cell 2" xfId="34" xr:uid="{00000000-0005-0000-0000-00001B000000}"/>
    <cellStyle name="Comma" xfId="62" builtinId="3"/>
    <cellStyle name="Explanatory Text 2" xfId="35" xr:uid="{00000000-0005-0000-0000-00001D000000}"/>
    <cellStyle name="Good 2" xfId="36" xr:uid="{00000000-0005-0000-0000-00001E000000}"/>
    <cellStyle name="Heading 1 2" xfId="37" xr:uid="{00000000-0005-0000-0000-00001F000000}"/>
    <cellStyle name="Heading 2 2" xfId="38" xr:uid="{00000000-0005-0000-0000-000020000000}"/>
    <cellStyle name="Heading 3 2" xfId="39" xr:uid="{00000000-0005-0000-0000-000021000000}"/>
    <cellStyle name="Heading 4 2" xfId="40" xr:uid="{00000000-0005-0000-0000-000022000000}"/>
    <cellStyle name="Hyperlink" xfId="4" builtinId="8"/>
    <cellStyle name="Hyperlink 2" xfId="53" xr:uid="{00000000-0005-0000-0000-000024000000}"/>
    <cellStyle name="Hyperlink 3" xfId="51" xr:uid="{00000000-0005-0000-0000-000025000000}"/>
    <cellStyle name="Input 2" xfId="41" xr:uid="{00000000-0005-0000-0000-000026000000}"/>
    <cellStyle name="Linked Cell 2" xfId="42" xr:uid="{00000000-0005-0000-0000-000027000000}"/>
    <cellStyle name="Neutral 2" xfId="43" xr:uid="{00000000-0005-0000-0000-000028000000}"/>
    <cellStyle name="Normal" xfId="0" builtinId="0"/>
    <cellStyle name="Normal 2" xfId="1" xr:uid="{00000000-0005-0000-0000-00002A000000}"/>
    <cellStyle name="Normal 3" xfId="2" xr:uid="{00000000-0005-0000-0000-00002B000000}"/>
    <cellStyle name="Normal 3 2" xfId="52" xr:uid="{00000000-0005-0000-0000-00002C000000}"/>
    <cellStyle name="Normal 4" xfId="6" xr:uid="{00000000-0005-0000-0000-00002D000000}"/>
    <cellStyle name="Normal 5" xfId="54" xr:uid="{00000000-0005-0000-0000-00002E000000}"/>
    <cellStyle name="Normal 6" xfId="56" xr:uid="{00000000-0005-0000-0000-00002F000000}"/>
    <cellStyle name="Normal 7" xfId="58" xr:uid="{00000000-0005-0000-0000-000030000000}"/>
    <cellStyle name="Normal 8" xfId="60" xr:uid="{00000000-0005-0000-0000-000031000000}"/>
    <cellStyle name="Note 2" xfId="3" xr:uid="{00000000-0005-0000-0000-000032000000}"/>
    <cellStyle name="Note 3" xfId="44" xr:uid="{00000000-0005-0000-0000-000033000000}"/>
    <cellStyle name="Output 2" xfId="45" xr:uid="{00000000-0005-0000-0000-000034000000}"/>
    <cellStyle name="Percent" xfId="5" builtinId="5"/>
    <cellStyle name="Style 1" xfId="46" xr:uid="{00000000-0005-0000-0000-000036000000}"/>
    <cellStyle name="Style 1 2" xfId="55" xr:uid="{00000000-0005-0000-0000-000037000000}"/>
    <cellStyle name="Style 1 3" xfId="57" xr:uid="{00000000-0005-0000-0000-000038000000}"/>
    <cellStyle name="Style 1 4" xfId="59" xr:uid="{00000000-0005-0000-0000-000039000000}"/>
    <cellStyle name="Style 1 5" xfId="61" xr:uid="{00000000-0005-0000-0000-00003A000000}"/>
    <cellStyle name="Title 2" xfId="47" xr:uid="{00000000-0005-0000-0000-00003B000000}"/>
    <cellStyle name="Total 2" xfId="48" xr:uid="{00000000-0005-0000-0000-00003C000000}"/>
    <cellStyle name="Warning Text 2" xfId="49" xr:uid="{00000000-0005-0000-0000-00003D000000}"/>
    <cellStyle name="Обычный_RTS_select_issues" xfId="50" xr:uid="{00000000-0005-0000-0000-00003E000000}"/>
  </cellStyles>
  <dxfs count="0"/>
  <tableStyles count="0" defaultTableStyle="TableStyleMedium2" defaultPivotStyle="PivotStyleLight16"/>
  <colors>
    <mruColors>
      <color rgb="FF0000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US%20Indic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Index%20Review%204%20(US%20Indic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 Data"/>
      <sheetName val="Annual Data"/>
      <sheetName val="sectors"/>
      <sheetName val="sectors _ annual"/>
      <sheetName val="Stats"/>
      <sheetName val="size"/>
      <sheetName val="Excess Returns"/>
      <sheetName val="risk vs return"/>
      <sheetName val="S&amp;P 500"/>
      <sheetName val="cons disc"/>
      <sheetName val="cons staple"/>
      <sheetName val="energy"/>
      <sheetName val="Financial"/>
      <sheetName val="Healthcare"/>
      <sheetName val="Industrials"/>
      <sheetName val="Info Tech"/>
      <sheetName val="Materials"/>
      <sheetName val="Telecom"/>
      <sheetName val="Utilities"/>
      <sheetName val="mid cap"/>
      <sheetName val="sml cap"/>
      <sheetName val="total mkt"/>
      <sheetName val="largecap"/>
    </sheetNames>
    <sheetDataSet>
      <sheetData sheetId="0">
        <row r="3">
          <cell r="A3">
            <v>32142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thly Data"/>
      <sheetName val="Mthly Data (TR)"/>
      <sheetName val="sectors"/>
      <sheetName val="Qtrly Data"/>
      <sheetName val="Stats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500 portfolio"/>
      <sheetName val="500 pivot"/>
      <sheetName val="400 portfolio"/>
      <sheetName val="600 portfolio"/>
      <sheetName val="super portfolio"/>
      <sheetName val="900 portfolio"/>
      <sheetName val="1000 portfolio"/>
      <sheetName val="100 portfolio"/>
      <sheetName val="500 G portfolio"/>
      <sheetName val="500 V portfolio"/>
      <sheetName val="500 EWI portfolio"/>
      <sheetName val="1000 pivot"/>
      <sheetName val="400 G portfolio"/>
      <sheetName val="400 V portfolio"/>
      <sheetName val="600 G portfolio"/>
      <sheetName val="600 V portfolio"/>
      <sheetName val="sml mid pivot"/>
      <sheetName val="G&amp;V Comp"/>
      <sheetName val="Annual Data"/>
      <sheetName val="sectors annual"/>
      <sheetName val="34"/>
      <sheetName val="35"/>
      <sheetName val="36"/>
      <sheetName val="37"/>
      <sheetName val="38"/>
      <sheetName val="39"/>
      <sheetName val="Index Comp (TR)"/>
      <sheetName val="REIT"/>
      <sheetName val="REIT portfolio"/>
      <sheetName val="1000 porfolio"/>
      <sheetName val="4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aer.gov.au/system/files/RBP%20gas%20transmission%202012%20-%20MRP%20report%20-%20Handley%20%28Public%29%20-%20April%202012.pdf" TargetMode="External"/><Relationship Id="rId7" Type="http://schemas.openxmlformats.org/officeDocument/2006/relationships/hyperlink" Target="https://www.ato.gov.au/Rates/Company-tax---imputation--average-franking-credit---rebate-yields/" TargetMode="External"/><Relationship Id="rId2" Type="http://schemas.openxmlformats.org/officeDocument/2006/relationships/hyperlink" Target="https://www.spglobal.com/spdji/en/indices/equity/all-ordinaries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abs.gov.au/statistics/economy/price-indexes-and-inflation/consumer-price-index-australia/mar-2022" TargetMode="External"/><Relationship Id="rId5" Type="http://schemas.openxmlformats.org/officeDocument/2006/relationships/hyperlink" Target="https://www.rba.gov.au/statistics/tables/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pure.bond.edu.au/ws/portalfiles/portal/27908724/The_historical_equity_risk_premium.pdf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K152"/>
  <sheetViews>
    <sheetView showGridLines="0" zoomScaleNormal="100" workbookViewId="0">
      <pane ySplit="2" topLeftCell="A121" activePane="bottomLeft" state="frozen"/>
      <selection pane="bottomLeft" activeCell="G145" sqref="G145"/>
    </sheetView>
  </sheetViews>
  <sheetFormatPr defaultColWidth="9.1796875" defaultRowHeight="14" x14ac:dyDescent="0.3"/>
  <cols>
    <col min="1" max="1" width="7.7265625" style="10" customWidth="1"/>
    <col min="2" max="2" width="24.26953125" style="10" customWidth="1"/>
    <col min="3" max="3" width="16.54296875" style="10" bestFit="1" customWidth="1"/>
    <col min="4" max="4" width="9.7265625" style="10" customWidth="1"/>
    <col min="5" max="5" width="10" style="10" customWidth="1"/>
    <col min="6" max="6" width="9.81640625" style="10" customWidth="1"/>
    <col min="7" max="7" width="27.26953125" style="10" customWidth="1"/>
    <col min="8" max="8" width="26.54296875" style="10" customWidth="1"/>
    <col min="9" max="9" width="17.1796875" style="10" customWidth="1"/>
    <col min="10" max="10" width="21.54296875" style="10" customWidth="1"/>
    <col min="11" max="11" width="16.81640625" style="9" customWidth="1"/>
    <col min="12" max="16384" width="9.1796875" style="9"/>
  </cols>
  <sheetData>
    <row r="1" spans="1:10" ht="16.5" x14ac:dyDescent="0.3">
      <c r="A1" s="128" t="s">
        <v>64</v>
      </c>
      <c r="B1" s="128"/>
      <c r="C1" s="128"/>
      <c r="D1" s="128"/>
      <c r="E1" s="128"/>
      <c r="F1" s="129"/>
      <c r="G1" s="130" t="s">
        <v>13</v>
      </c>
      <c r="H1" s="131"/>
      <c r="I1" s="131"/>
      <c r="J1" s="131"/>
    </row>
    <row r="2" spans="1:10" s="11" customFormat="1" ht="16.5" x14ac:dyDescent="0.3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2" t="s">
        <v>8</v>
      </c>
      <c r="H2" s="15" t="s">
        <v>9</v>
      </c>
      <c r="I2" s="73" t="s">
        <v>10</v>
      </c>
      <c r="J2" s="11" t="s">
        <v>7</v>
      </c>
    </row>
    <row r="3" spans="1:10" ht="16.5" x14ac:dyDescent="0.3">
      <c r="A3" s="94">
        <v>1883</v>
      </c>
      <c r="B3" s="75">
        <v>0.28999999999999998</v>
      </c>
      <c r="C3" s="75">
        <v>0.219</v>
      </c>
      <c r="D3" s="75">
        <v>5.5E-2</v>
      </c>
      <c r="E3" s="75">
        <v>3.7999999999999999E-2</v>
      </c>
      <c r="F3" s="95">
        <v>-2.9000000000000001E-2</v>
      </c>
      <c r="G3" s="76"/>
      <c r="H3" s="77">
        <v>0</v>
      </c>
      <c r="I3" s="77"/>
      <c r="J3" s="75">
        <v>0</v>
      </c>
    </row>
    <row r="4" spans="1:10" ht="16.5" x14ac:dyDescent="0.3">
      <c r="A4" s="94">
        <v>1884</v>
      </c>
      <c r="B4" s="75">
        <v>4.3999999999999997E-2</v>
      </c>
      <c r="C4" s="75">
        <v>-1.7000000000000001E-2</v>
      </c>
      <c r="D4" s="75">
        <v>4.8000000000000001E-2</v>
      </c>
      <c r="E4" s="75">
        <v>3.6999999999999998E-2</v>
      </c>
      <c r="F4" s="95">
        <v>-8.7999999999999995E-2</v>
      </c>
      <c r="G4" s="76"/>
      <c r="H4" s="77">
        <v>0</v>
      </c>
      <c r="I4" s="77"/>
      <c r="J4" s="75">
        <v>0</v>
      </c>
    </row>
    <row r="5" spans="1:10" ht="16.5" x14ac:dyDescent="0.3">
      <c r="A5" s="94">
        <v>1885</v>
      </c>
      <c r="B5" s="75">
        <v>0.113</v>
      </c>
      <c r="C5" s="75">
        <v>4.7E-2</v>
      </c>
      <c r="D5" s="75">
        <v>4.8000000000000001E-2</v>
      </c>
      <c r="E5" s="75">
        <v>3.7999999999999999E-2</v>
      </c>
      <c r="F5" s="95">
        <v>9.8000000000000004E-2</v>
      </c>
      <c r="G5" s="76"/>
      <c r="H5" s="77">
        <v>0</v>
      </c>
      <c r="I5" s="77"/>
      <c r="J5" s="75">
        <v>0</v>
      </c>
    </row>
    <row r="6" spans="1:10" ht="16.5" x14ac:dyDescent="0.3">
      <c r="A6" s="94">
        <v>1886</v>
      </c>
      <c r="B6" s="75">
        <v>2.9000000000000001E-2</v>
      </c>
      <c r="C6" s="75">
        <v>-3.5999999999999997E-2</v>
      </c>
      <c r="D6" s="75">
        <v>5.8000000000000003E-2</v>
      </c>
      <c r="E6" s="75">
        <v>3.7999999999999999E-2</v>
      </c>
      <c r="F6" s="95">
        <v>4.3999999999999997E-2</v>
      </c>
      <c r="G6" s="76"/>
      <c r="H6" s="77">
        <v>0</v>
      </c>
      <c r="I6" s="77"/>
      <c r="J6" s="75">
        <v>0</v>
      </c>
    </row>
    <row r="7" spans="1:10" ht="16.5" x14ac:dyDescent="0.3">
      <c r="A7" s="94">
        <v>1887</v>
      </c>
      <c r="B7" s="75">
        <v>0.28199999999999997</v>
      </c>
      <c r="C7" s="75">
        <v>0.20599999999999999</v>
      </c>
      <c r="D7" s="75">
        <v>0.04</v>
      </c>
      <c r="E7" s="75">
        <v>3.5999999999999997E-2</v>
      </c>
      <c r="F7" s="95">
        <v>-0.04</v>
      </c>
      <c r="G7" s="76"/>
      <c r="H7" s="77">
        <v>0</v>
      </c>
      <c r="I7" s="77"/>
      <c r="J7" s="75">
        <v>0</v>
      </c>
    </row>
    <row r="8" spans="1:10" ht="16.5" x14ac:dyDescent="0.3">
      <c r="A8" s="94">
        <v>1888</v>
      </c>
      <c r="B8" s="75">
        <v>0.26200000000000001</v>
      </c>
      <c r="C8" s="75">
        <v>0.19500000000000001</v>
      </c>
      <c r="D8" s="75">
        <v>0.05</v>
      </c>
      <c r="E8" s="75">
        <v>3.4000000000000002E-2</v>
      </c>
      <c r="F8" s="95">
        <v>-2.9000000000000001E-2</v>
      </c>
      <c r="G8" s="76"/>
      <c r="H8" s="77">
        <v>0</v>
      </c>
      <c r="I8" s="77"/>
      <c r="J8" s="75">
        <v>0</v>
      </c>
    </row>
    <row r="9" spans="1:10" ht="16.5" x14ac:dyDescent="0.3">
      <c r="A9" s="94">
        <v>1889</v>
      </c>
      <c r="B9" s="75">
        <v>-1.0999999999999999E-2</v>
      </c>
      <c r="C9" s="75">
        <v>-6.8000000000000005E-2</v>
      </c>
      <c r="D9" s="75">
        <v>0.05</v>
      </c>
      <c r="E9" s="75">
        <v>3.4000000000000002E-2</v>
      </c>
      <c r="F9" s="95">
        <v>0.01</v>
      </c>
      <c r="G9" s="76"/>
      <c r="H9" s="77">
        <v>0</v>
      </c>
      <c r="I9" s="77"/>
      <c r="J9" s="75">
        <v>0</v>
      </c>
    </row>
    <row r="10" spans="1:10" ht="16.5" x14ac:dyDescent="0.3">
      <c r="A10" s="94">
        <v>1890</v>
      </c>
      <c r="B10" s="75">
        <v>1.4E-2</v>
      </c>
      <c r="C10" s="75">
        <v>-4.8000000000000001E-2</v>
      </c>
      <c r="D10" s="75">
        <v>4.4999999999999998E-2</v>
      </c>
      <c r="E10" s="75">
        <v>3.5000000000000003E-2</v>
      </c>
      <c r="F10" s="95">
        <v>8.0000000000000002E-3</v>
      </c>
      <c r="G10" s="76"/>
      <c r="H10" s="77">
        <v>0</v>
      </c>
      <c r="I10" s="77"/>
      <c r="J10" s="75">
        <v>0</v>
      </c>
    </row>
    <row r="11" spans="1:10" ht="16.5" x14ac:dyDescent="0.3">
      <c r="A11" s="94">
        <v>1891</v>
      </c>
      <c r="B11" s="75">
        <v>-0.104</v>
      </c>
      <c r="C11" s="75">
        <v>-0.159</v>
      </c>
      <c r="D11" s="75">
        <v>5.2999999999999999E-2</v>
      </c>
      <c r="E11" s="75">
        <v>3.7999999999999999E-2</v>
      </c>
      <c r="F11" s="95">
        <v>1E-3</v>
      </c>
      <c r="G11" s="76"/>
      <c r="H11" s="77">
        <v>0</v>
      </c>
      <c r="I11" s="77"/>
      <c r="J11" s="75">
        <v>0</v>
      </c>
    </row>
    <row r="12" spans="1:10" ht="16.5" x14ac:dyDescent="0.3">
      <c r="A12" s="94">
        <v>1892</v>
      </c>
      <c r="B12" s="75">
        <v>6.3E-2</v>
      </c>
      <c r="C12" s="75">
        <v>-7.0000000000000001E-3</v>
      </c>
      <c r="D12" s="75">
        <v>5.2999999999999999E-2</v>
      </c>
      <c r="E12" s="75">
        <v>3.7999999999999999E-2</v>
      </c>
      <c r="F12" s="95">
        <v>-0.03</v>
      </c>
      <c r="G12" s="76"/>
      <c r="H12" s="77">
        <v>0</v>
      </c>
      <c r="I12" s="77"/>
      <c r="J12" s="75">
        <v>0</v>
      </c>
    </row>
    <row r="13" spans="1:10" ht="16.5" x14ac:dyDescent="0.3">
      <c r="A13" s="94">
        <v>1893</v>
      </c>
      <c r="B13" s="75">
        <v>-4.9000000000000002E-2</v>
      </c>
      <c r="C13" s="75">
        <v>-0.113</v>
      </c>
      <c r="D13" s="75">
        <v>5.3999999999999999E-2</v>
      </c>
      <c r="E13" s="75">
        <v>3.7999999999999999E-2</v>
      </c>
      <c r="F13" s="95">
        <v>-6.3E-2</v>
      </c>
      <c r="G13" s="76"/>
      <c r="H13" s="77">
        <v>0</v>
      </c>
      <c r="I13" s="77"/>
      <c r="J13" s="75">
        <v>0</v>
      </c>
    </row>
    <row r="14" spans="1:10" ht="16.5" x14ac:dyDescent="0.3">
      <c r="A14" s="94">
        <v>1894</v>
      </c>
      <c r="B14" s="75">
        <v>0.106</v>
      </c>
      <c r="C14" s="75">
        <v>2.9000000000000001E-2</v>
      </c>
      <c r="D14" s="75">
        <v>0.03</v>
      </c>
      <c r="E14" s="75">
        <v>3.5000000000000003E-2</v>
      </c>
      <c r="F14" s="95">
        <v>-5.3999999999999999E-2</v>
      </c>
      <c r="G14" s="76"/>
      <c r="H14" s="77">
        <v>0</v>
      </c>
      <c r="I14" s="77"/>
      <c r="J14" s="75">
        <v>0</v>
      </c>
    </row>
    <row r="15" spans="1:10" ht="16.5" x14ac:dyDescent="0.3">
      <c r="A15" s="94">
        <v>1895</v>
      </c>
      <c r="B15" s="75">
        <v>0.20100000000000001</v>
      </c>
      <c r="C15" s="75">
        <v>0.126</v>
      </c>
      <c r="D15" s="75">
        <v>3.9E-2</v>
      </c>
      <c r="E15" s="75">
        <v>3.3000000000000002E-2</v>
      </c>
      <c r="F15" s="95">
        <v>8.0000000000000002E-3</v>
      </c>
      <c r="G15" s="76"/>
      <c r="H15" s="77">
        <v>0</v>
      </c>
      <c r="I15" s="77"/>
      <c r="J15" s="75">
        <v>0</v>
      </c>
    </row>
    <row r="16" spans="1:10" ht="16.5" x14ac:dyDescent="0.3">
      <c r="A16" s="94">
        <v>1896</v>
      </c>
      <c r="B16" s="75">
        <v>1.7000000000000001E-2</v>
      </c>
      <c r="C16" s="75">
        <v>-3.6999999999999998E-2</v>
      </c>
      <c r="D16" s="75">
        <v>3.4000000000000002E-2</v>
      </c>
      <c r="E16" s="75">
        <v>3.2000000000000001E-2</v>
      </c>
      <c r="F16" s="95">
        <v>1.2E-2</v>
      </c>
      <c r="G16" s="76"/>
      <c r="H16" s="77">
        <v>0</v>
      </c>
      <c r="I16" s="77"/>
      <c r="J16" s="75">
        <v>0</v>
      </c>
    </row>
    <row r="17" spans="1:10" ht="16.5" x14ac:dyDescent="0.3">
      <c r="A17" s="94">
        <v>1897</v>
      </c>
      <c r="B17" s="75">
        <v>8.5000000000000006E-2</v>
      </c>
      <c r="C17" s="75">
        <v>0.03</v>
      </c>
      <c r="D17" s="75">
        <v>3.5999999999999997E-2</v>
      </c>
      <c r="E17" s="75">
        <v>0.03</v>
      </c>
      <c r="F17" s="95">
        <v>4.2000000000000003E-2</v>
      </c>
      <c r="G17" s="76"/>
      <c r="H17" s="77">
        <v>0</v>
      </c>
      <c r="I17" s="77"/>
      <c r="J17" s="75">
        <v>0</v>
      </c>
    </row>
    <row r="18" spans="1:10" ht="16.5" x14ac:dyDescent="0.3">
      <c r="A18" s="94">
        <v>1898</v>
      </c>
      <c r="B18" s="75">
        <v>0.155</v>
      </c>
      <c r="C18" s="75">
        <v>9.7000000000000003E-2</v>
      </c>
      <c r="D18" s="75">
        <v>3.5999999999999997E-2</v>
      </c>
      <c r="E18" s="75">
        <v>3.3000000000000002E-2</v>
      </c>
      <c r="F18" s="95">
        <v>-4.8000000000000001E-2</v>
      </c>
      <c r="G18" s="76"/>
      <c r="H18" s="77">
        <v>0</v>
      </c>
      <c r="I18" s="77"/>
      <c r="J18" s="75">
        <v>0</v>
      </c>
    </row>
    <row r="19" spans="1:10" ht="16.5" x14ac:dyDescent="0.3">
      <c r="A19" s="94">
        <v>1899</v>
      </c>
      <c r="B19" s="75">
        <v>0.121</v>
      </c>
      <c r="C19" s="75">
        <v>6.7000000000000004E-2</v>
      </c>
      <c r="D19" s="75">
        <v>3.5999999999999997E-2</v>
      </c>
      <c r="E19" s="75">
        <v>3.5000000000000003E-2</v>
      </c>
      <c r="F19" s="95">
        <v>3.0000000000000001E-3</v>
      </c>
      <c r="G19" s="76"/>
      <c r="H19" s="77">
        <v>0</v>
      </c>
      <c r="I19" s="77"/>
      <c r="J19" s="75">
        <v>0</v>
      </c>
    </row>
    <row r="20" spans="1:10" ht="16.5" x14ac:dyDescent="0.3">
      <c r="A20" s="94">
        <v>1900</v>
      </c>
      <c r="B20" s="75">
        <v>0.122</v>
      </c>
      <c r="C20" s="75">
        <v>7.0000000000000007E-2</v>
      </c>
      <c r="D20" s="75">
        <v>3.5000000000000003E-2</v>
      </c>
      <c r="E20" s="75">
        <v>3.3000000000000002E-2</v>
      </c>
      <c r="F20" s="95">
        <v>-4.0000000000000001E-3</v>
      </c>
      <c r="G20" s="76"/>
      <c r="H20" s="77">
        <v>0</v>
      </c>
      <c r="I20" s="77"/>
      <c r="J20" s="75">
        <v>0</v>
      </c>
    </row>
    <row r="21" spans="1:10" ht="16.5" x14ac:dyDescent="0.3">
      <c r="A21" s="94">
        <v>1901</v>
      </c>
      <c r="B21" s="75">
        <v>-3.2000000000000001E-2</v>
      </c>
      <c r="C21" s="75">
        <v>-7.9000000000000001E-2</v>
      </c>
      <c r="D21" s="75">
        <v>3.5000000000000003E-2</v>
      </c>
      <c r="E21" s="75">
        <v>3.3000000000000002E-2</v>
      </c>
      <c r="F21" s="95">
        <v>5.0999999999999997E-2</v>
      </c>
      <c r="G21" s="76"/>
      <c r="H21" s="77">
        <v>0</v>
      </c>
      <c r="I21" s="77"/>
      <c r="J21" s="75">
        <v>0</v>
      </c>
    </row>
    <row r="22" spans="1:10" ht="16.5" x14ac:dyDescent="0.3">
      <c r="A22" s="94">
        <v>1902</v>
      </c>
      <c r="B22" s="75">
        <v>0.156</v>
      </c>
      <c r="C22" s="75">
        <v>9.8000000000000004E-2</v>
      </c>
      <c r="D22" s="75">
        <v>3.5000000000000003E-2</v>
      </c>
      <c r="E22" s="75">
        <v>3.5000000000000003E-2</v>
      </c>
      <c r="F22" s="95">
        <v>6.4000000000000001E-2</v>
      </c>
      <c r="G22" s="76"/>
      <c r="H22" s="77">
        <v>0</v>
      </c>
      <c r="I22" s="77"/>
      <c r="J22" s="75">
        <v>0</v>
      </c>
    </row>
    <row r="23" spans="1:10" ht="16.5" x14ac:dyDescent="0.3">
      <c r="A23" s="94">
        <v>1903</v>
      </c>
      <c r="B23" s="75">
        <v>0.219</v>
      </c>
      <c r="C23" s="75">
        <v>0.159</v>
      </c>
      <c r="D23" s="75">
        <v>3.5000000000000003E-2</v>
      </c>
      <c r="E23" s="75">
        <v>3.5999999999999997E-2</v>
      </c>
      <c r="F23" s="95">
        <v>-0.02</v>
      </c>
      <c r="G23" s="76"/>
      <c r="H23" s="77">
        <v>0</v>
      </c>
      <c r="I23" s="77"/>
      <c r="J23" s="75">
        <v>0</v>
      </c>
    </row>
    <row r="24" spans="1:10" ht="16.5" x14ac:dyDescent="0.3">
      <c r="A24" s="94">
        <v>1904</v>
      </c>
      <c r="B24" s="75">
        <v>7.4999999999999997E-2</v>
      </c>
      <c r="C24" s="75">
        <v>2.1999999999999999E-2</v>
      </c>
      <c r="D24" s="75">
        <v>3.7999999999999999E-2</v>
      </c>
      <c r="E24" s="75">
        <v>3.6999999999999998E-2</v>
      </c>
      <c r="F24" s="95">
        <v>-6.0999999999999999E-2</v>
      </c>
      <c r="G24" s="76"/>
      <c r="H24" s="77">
        <v>0</v>
      </c>
      <c r="I24" s="77"/>
      <c r="J24" s="75">
        <v>0</v>
      </c>
    </row>
    <row r="25" spans="1:10" ht="16.5" x14ac:dyDescent="0.3">
      <c r="A25" s="94">
        <v>1905</v>
      </c>
      <c r="B25" s="75">
        <v>0.14599999999999999</v>
      </c>
      <c r="C25" s="75">
        <v>9.5000000000000001E-2</v>
      </c>
      <c r="D25" s="75">
        <v>3.7999999999999999E-2</v>
      </c>
      <c r="E25" s="75">
        <v>3.5000000000000003E-2</v>
      </c>
      <c r="F25" s="95">
        <v>4.2999999999999997E-2</v>
      </c>
      <c r="G25" s="76"/>
      <c r="H25" s="77">
        <v>0</v>
      </c>
      <c r="I25" s="77"/>
      <c r="J25" s="75">
        <v>0</v>
      </c>
    </row>
    <row r="26" spans="1:10" ht="16.5" x14ac:dyDescent="0.3">
      <c r="A26" s="94">
        <v>1906</v>
      </c>
      <c r="B26" s="75">
        <v>0.10199999999999999</v>
      </c>
      <c r="C26" s="75">
        <v>5.8000000000000003E-2</v>
      </c>
      <c r="D26" s="75">
        <v>3.5999999999999997E-2</v>
      </c>
      <c r="E26" s="75">
        <v>3.5000000000000003E-2</v>
      </c>
      <c r="F26" s="95">
        <v>0</v>
      </c>
      <c r="G26" s="76"/>
      <c r="H26" s="77">
        <v>0</v>
      </c>
      <c r="I26" s="77"/>
      <c r="J26" s="75">
        <v>0</v>
      </c>
    </row>
    <row r="27" spans="1:10" ht="16.5" x14ac:dyDescent="0.3">
      <c r="A27" s="94">
        <v>1907</v>
      </c>
      <c r="B27" s="75">
        <v>8.7999999999999995E-2</v>
      </c>
      <c r="C27" s="75">
        <v>4.5999999999999999E-2</v>
      </c>
      <c r="D27" s="75">
        <v>3.5999999999999997E-2</v>
      </c>
      <c r="E27" s="75">
        <v>3.5000000000000003E-2</v>
      </c>
      <c r="F27" s="95">
        <v>0</v>
      </c>
      <c r="G27" s="76"/>
      <c r="H27" s="77">
        <v>0</v>
      </c>
      <c r="I27" s="77"/>
      <c r="J27" s="75">
        <v>0</v>
      </c>
    </row>
    <row r="28" spans="1:10" ht="16.5" x14ac:dyDescent="0.3">
      <c r="A28" s="94">
        <v>1908</v>
      </c>
      <c r="B28" s="75">
        <v>0.17299999999999999</v>
      </c>
      <c r="C28" s="75">
        <v>0.126</v>
      </c>
      <c r="D28" s="75">
        <v>3.5999999999999997E-2</v>
      </c>
      <c r="E28" s="75">
        <v>3.5000000000000003E-2</v>
      </c>
      <c r="F28" s="95">
        <v>6.3E-2</v>
      </c>
      <c r="G28" s="76"/>
      <c r="H28" s="77">
        <v>0</v>
      </c>
      <c r="I28" s="77"/>
      <c r="J28" s="75">
        <v>0</v>
      </c>
    </row>
    <row r="29" spans="1:10" ht="16.5" x14ac:dyDescent="0.3">
      <c r="A29" s="94">
        <v>1909</v>
      </c>
      <c r="B29" s="75">
        <v>0.13500000000000001</v>
      </c>
      <c r="C29" s="75">
        <v>0.09</v>
      </c>
      <c r="D29" s="75">
        <v>3.5999999999999997E-2</v>
      </c>
      <c r="E29" s="75">
        <v>3.5999999999999997E-2</v>
      </c>
      <c r="F29" s="95">
        <v>0</v>
      </c>
      <c r="G29" s="76"/>
      <c r="H29" s="77">
        <v>0</v>
      </c>
      <c r="I29" s="77"/>
      <c r="J29" s="75">
        <v>0</v>
      </c>
    </row>
    <row r="30" spans="1:10" ht="16.5" x14ac:dyDescent="0.3">
      <c r="A30" s="94">
        <v>1910</v>
      </c>
      <c r="B30" s="75">
        <v>6.7000000000000004E-2</v>
      </c>
      <c r="C30" s="75">
        <v>2.5000000000000001E-2</v>
      </c>
      <c r="D30" s="75">
        <v>3.5999999999999997E-2</v>
      </c>
      <c r="E30" s="75">
        <v>3.7999999999999999E-2</v>
      </c>
      <c r="F30" s="95">
        <v>0.02</v>
      </c>
      <c r="G30" s="76"/>
      <c r="H30" s="77">
        <v>0</v>
      </c>
      <c r="I30" s="77"/>
      <c r="J30" s="75">
        <v>0</v>
      </c>
    </row>
    <row r="31" spans="1:10" ht="16.5" x14ac:dyDescent="0.3">
      <c r="A31" s="94">
        <v>1911</v>
      </c>
      <c r="B31" s="75">
        <v>0.107</v>
      </c>
      <c r="C31" s="75">
        <v>6.2E-2</v>
      </c>
      <c r="D31" s="75">
        <v>3.5999999999999997E-2</v>
      </c>
      <c r="E31" s="75">
        <v>3.7999999999999999E-2</v>
      </c>
      <c r="F31" s="95">
        <v>1.9E-2</v>
      </c>
      <c r="G31" s="76"/>
      <c r="H31" s="77">
        <v>0</v>
      </c>
      <c r="I31" s="77"/>
      <c r="J31" s="75">
        <v>0</v>
      </c>
    </row>
    <row r="32" spans="1:10" ht="16.5" x14ac:dyDescent="0.3">
      <c r="A32" s="94">
        <v>1912</v>
      </c>
      <c r="B32" s="75">
        <v>8.5999999999999993E-2</v>
      </c>
      <c r="C32" s="75">
        <v>3.5999999999999997E-2</v>
      </c>
      <c r="D32" s="75">
        <v>3.5999999999999997E-2</v>
      </c>
      <c r="E32" s="75">
        <v>3.9E-2</v>
      </c>
      <c r="F32" s="95">
        <v>0.113</v>
      </c>
      <c r="G32" s="76"/>
      <c r="H32" s="77">
        <v>0</v>
      </c>
      <c r="I32" s="77"/>
      <c r="J32" s="75">
        <v>0</v>
      </c>
    </row>
    <row r="33" spans="1:10" ht="16.5" x14ac:dyDescent="0.3">
      <c r="A33" s="94">
        <v>1913</v>
      </c>
      <c r="B33" s="75">
        <v>8.8999999999999996E-2</v>
      </c>
      <c r="C33" s="75">
        <v>3.7999999999999999E-2</v>
      </c>
      <c r="D33" s="75">
        <v>3.5999999999999997E-2</v>
      </c>
      <c r="E33" s="75">
        <v>4.2999999999999997E-2</v>
      </c>
      <c r="F33" s="95">
        <v>0</v>
      </c>
      <c r="G33" s="76"/>
      <c r="H33" s="77">
        <v>0</v>
      </c>
      <c r="I33" s="77"/>
      <c r="J33" s="75">
        <v>0</v>
      </c>
    </row>
    <row r="34" spans="1:10" ht="16.5" x14ac:dyDescent="0.3">
      <c r="A34" s="94">
        <v>1914</v>
      </c>
      <c r="B34" s="75">
        <v>0.114</v>
      </c>
      <c r="C34" s="75">
        <v>5.8999999999999997E-2</v>
      </c>
      <c r="D34" s="75">
        <v>3.5999999999999997E-2</v>
      </c>
      <c r="E34" s="75">
        <v>4.2999999999999997E-2</v>
      </c>
      <c r="F34" s="95">
        <v>3.4000000000000002E-2</v>
      </c>
      <c r="G34" s="76"/>
      <c r="H34" s="77">
        <v>0</v>
      </c>
      <c r="I34" s="77"/>
      <c r="J34" s="75">
        <v>0</v>
      </c>
    </row>
    <row r="35" spans="1:10" ht="16.5" x14ac:dyDescent="0.3">
      <c r="A35" s="94">
        <v>1915</v>
      </c>
      <c r="B35" s="75">
        <v>-3.5000000000000003E-2</v>
      </c>
      <c r="C35" s="75">
        <v>-8.3000000000000004E-2</v>
      </c>
      <c r="D35" s="75">
        <v>3.5999999999999997E-2</v>
      </c>
      <c r="E35" s="75">
        <v>4.5999999999999999E-2</v>
      </c>
      <c r="F35" s="95">
        <v>0.14799999999999999</v>
      </c>
      <c r="G35" s="76"/>
      <c r="H35" s="77">
        <v>0</v>
      </c>
      <c r="I35" s="77"/>
      <c r="J35" s="75">
        <v>0</v>
      </c>
    </row>
    <row r="36" spans="1:10" ht="16.5" x14ac:dyDescent="0.3">
      <c r="A36" s="94">
        <v>1916</v>
      </c>
      <c r="B36" s="75">
        <v>-3.4000000000000002E-2</v>
      </c>
      <c r="C36" s="75">
        <v>-8.4000000000000005E-2</v>
      </c>
      <c r="D36" s="75">
        <v>3.5999999999999997E-2</v>
      </c>
      <c r="E36" s="75">
        <v>4.9000000000000002E-2</v>
      </c>
      <c r="F36" s="95">
        <v>1.4E-2</v>
      </c>
      <c r="G36" s="76"/>
      <c r="H36" s="77">
        <v>0</v>
      </c>
      <c r="I36" s="77"/>
      <c r="J36" s="75">
        <v>0</v>
      </c>
    </row>
    <row r="37" spans="1:10" ht="16.5" x14ac:dyDescent="0.3">
      <c r="A37" s="94">
        <v>1917</v>
      </c>
      <c r="B37" s="75">
        <v>0.155</v>
      </c>
      <c r="C37" s="75">
        <v>9.5000000000000001E-2</v>
      </c>
      <c r="D37" s="75">
        <v>3.5999999999999997E-2</v>
      </c>
      <c r="E37" s="75">
        <v>4.7E-2</v>
      </c>
      <c r="F37" s="95">
        <v>5.6000000000000001E-2</v>
      </c>
      <c r="G37" s="76"/>
      <c r="H37" s="77">
        <v>0</v>
      </c>
      <c r="I37" s="77"/>
      <c r="J37" s="75">
        <v>0</v>
      </c>
    </row>
    <row r="38" spans="1:10" ht="16.5" x14ac:dyDescent="0.3">
      <c r="A38" s="94">
        <v>1918</v>
      </c>
      <c r="B38" s="75">
        <v>7.4999999999999997E-2</v>
      </c>
      <c r="C38" s="75">
        <v>1.9E-2</v>
      </c>
      <c r="D38" s="75">
        <v>3.5999999999999997E-2</v>
      </c>
      <c r="E38" s="75">
        <v>0.05</v>
      </c>
      <c r="F38" s="95">
        <v>6.7000000000000004E-2</v>
      </c>
      <c r="G38" s="76"/>
      <c r="H38" s="77">
        <v>0</v>
      </c>
      <c r="I38" s="77"/>
      <c r="J38" s="75">
        <v>0</v>
      </c>
    </row>
    <row r="39" spans="1:10" ht="16.5" x14ac:dyDescent="0.3">
      <c r="A39" s="94">
        <v>1919</v>
      </c>
      <c r="B39" s="75">
        <v>0.187</v>
      </c>
      <c r="C39" s="75">
        <v>0.126</v>
      </c>
      <c r="D39" s="75">
        <v>3.5999999999999997E-2</v>
      </c>
      <c r="E39" s="75">
        <v>5.3999999999999999E-2</v>
      </c>
      <c r="F39" s="95">
        <v>0.13800000000000001</v>
      </c>
      <c r="G39" s="76"/>
      <c r="H39" s="77">
        <v>0</v>
      </c>
      <c r="I39" s="77"/>
      <c r="J39" s="75">
        <v>0</v>
      </c>
    </row>
    <row r="40" spans="1:10" ht="16.5" x14ac:dyDescent="0.3">
      <c r="A40" s="94">
        <v>1920</v>
      </c>
      <c r="B40" s="75">
        <v>8.1000000000000003E-2</v>
      </c>
      <c r="C40" s="75">
        <v>2.5000000000000001E-2</v>
      </c>
      <c r="D40" s="75">
        <v>4.4999999999999998E-2</v>
      </c>
      <c r="E40" s="75">
        <v>6.7000000000000004E-2</v>
      </c>
      <c r="F40" s="95">
        <v>0.13200000000000001</v>
      </c>
      <c r="G40" s="76"/>
      <c r="H40" s="77">
        <v>0</v>
      </c>
      <c r="I40" s="77"/>
      <c r="J40" s="75">
        <v>0</v>
      </c>
    </row>
    <row r="41" spans="1:10" ht="16.5" x14ac:dyDescent="0.3">
      <c r="A41" s="94">
        <v>1921</v>
      </c>
      <c r="B41" s="75">
        <v>0.19900000000000001</v>
      </c>
      <c r="C41" s="75">
        <v>0.126</v>
      </c>
      <c r="D41" s="75">
        <v>4.4999999999999998E-2</v>
      </c>
      <c r="E41" s="75">
        <v>5.8999999999999997E-2</v>
      </c>
      <c r="F41" s="95">
        <v>-0.126</v>
      </c>
      <c r="G41" s="76"/>
      <c r="H41" s="77">
        <v>0</v>
      </c>
      <c r="I41" s="77"/>
      <c r="J41" s="75">
        <v>0</v>
      </c>
    </row>
    <row r="42" spans="1:10" ht="16.5" x14ac:dyDescent="0.3">
      <c r="A42" s="94">
        <v>1922</v>
      </c>
      <c r="B42" s="75">
        <v>0.21299999999999999</v>
      </c>
      <c r="C42" s="75">
        <v>0.14799999999999999</v>
      </c>
      <c r="D42" s="75">
        <v>4.4999999999999998E-2</v>
      </c>
      <c r="E42" s="75">
        <v>5.7000000000000002E-2</v>
      </c>
      <c r="F42" s="95">
        <v>-3.3000000000000002E-2</v>
      </c>
      <c r="G42" s="76"/>
      <c r="H42" s="77">
        <v>0</v>
      </c>
      <c r="I42" s="77"/>
      <c r="J42" s="75">
        <v>0</v>
      </c>
    </row>
    <row r="43" spans="1:10" ht="16.5" x14ac:dyDescent="0.3">
      <c r="A43" s="94">
        <v>1923</v>
      </c>
      <c r="B43" s="75">
        <v>0.16200000000000001</v>
      </c>
      <c r="C43" s="75">
        <v>0.10199999999999999</v>
      </c>
      <c r="D43" s="75">
        <v>4.4999999999999998E-2</v>
      </c>
      <c r="E43" s="75">
        <v>5.8999999999999997E-2</v>
      </c>
      <c r="F43" s="95">
        <v>2.3E-2</v>
      </c>
      <c r="G43" s="76"/>
      <c r="H43" s="77">
        <v>0</v>
      </c>
      <c r="I43" s="77"/>
      <c r="J43" s="75">
        <v>0</v>
      </c>
    </row>
    <row r="44" spans="1:10" ht="16.5" x14ac:dyDescent="0.3">
      <c r="A44" s="94">
        <v>1924</v>
      </c>
      <c r="B44" s="75">
        <v>0.13700000000000001</v>
      </c>
      <c r="C44" s="75">
        <v>7.5999999999999998E-2</v>
      </c>
      <c r="D44" s="75">
        <v>4.9000000000000002E-2</v>
      </c>
      <c r="E44" s="75">
        <v>5.3999999999999999E-2</v>
      </c>
      <c r="F44" s="95">
        <v>-1.0999999999999999E-2</v>
      </c>
      <c r="G44" s="76"/>
      <c r="H44" s="77">
        <v>0</v>
      </c>
      <c r="I44" s="77"/>
      <c r="J44" s="75">
        <v>0</v>
      </c>
    </row>
    <row r="45" spans="1:10" ht="16.5" x14ac:dyDescent="0.3">
      <c r="A45" s="94">
        <v>1925</v>
      </c>
      <c r="B45" s="75">
        <v>0.17699999999999999</v>
      </c>
      <c r="C45" s="75">
        <v>0.114</v>
      </c>
      <c r="D45" s="75">
        <v>4.9000000000000002E-2</v>
      </c>
      <c r="E45" s="75">
        <v>5.1999999999999998E-2</v>
      </c>
      <c r="F45" s="95">
        <v>0</v>
      </c>
      <c r="G45" s="76"/>
      <c r="H45" s="77">
        <v>0</v>
      </c>
      <c r="I45" s="77"/>
      <c r="J45" s="75">
        <v>0</v>
      </c>
    </row>
    <row r="46" spans="1:10" ht="16.5" x14ac:dyDescent="0.3">
      <c r="A46" s="94">
        <v>1926</v>
      </c>
      <c r="B46" s="75">
        <v>0.14099999999999999</v>
      </c>
      <c r="C46" s="75">
        <v>8.2000000000000003E-2</v>
      </c>
      <c r="D46" s="75">
        <v>4.9000000000000002E-2</v>
      </c>
      <c r="E46" s="75">
        <v>5.2999999999999999E-2</v>
      </c>
      <c r="F46" s="95">
        <v>2.3E-2</v>
      </c>
      <c r="G46" s="76"/>
      <c r="H46" s="77">
        <v>0</v>
      </c>
      <c r="I46" s="77"/>
      <c r="J46" s="75">
        <v>0</v>
      </c>
    </row>
    <row r="47" spans="1:10" ht="16.5" x14ac:dyDescent="0.3">
      <c r="A47" s="94">
        <v>1927</v>
      </c>
      <c r="B47" s="75">
        <v>0.124</v>
      </c>
      <c r="C47" s="75">
        <v>6.5000000000000002E-2</v>
      </c>
      <c r="D47" s="75">
        <v>5.2999999999999999E-2</v>
      </c>
      <c r="E47" s="75">
        <v>5.3999999999999999E-2</v>
      </c>
      <c r="F47" s="95">
        <v>-1.0999999999999999E-2</v>
      </c>
      <c r="G47" s="76"/>
      <c r="H47" s="77">
        <v>0</v>
      </c>
      <c r="I47" s="77"/>
      <c r="J47" s="75">
        <v>0</v>
      </c>
    </row>
    <row r="48" spans="1:10" ht="16.5" x14ac:dyDescent="0.3">
      <c r="A48" s="94">
        <v>1928</v>
      </c>
      <c r="B48" s="75">
        <v>0.17699999999999999</v>
      </c>
      <c r="C48" s="75">
        <v>0.115</v>
      </c>
      <c r="D48" s="75">
        <v>5.2999999999999999E-2</v>
      </c>
      <c r="E48" s="75">
        <v>5.2999999999999999E-2</v>
      </c>
      <c r="F48" s="95">
        <v>0</v>
      </c>
      <c r="G48" s="76"/>
      <c r="H48" s="77">
        <v>0</v>
      </c>
      <c r="I48" s="77"/>
      <c r="J48" s="75">
        <v>0</v>
      </c>
    </row>
    <row r="49" spans="1:10" ht="16.5" x14ac:dyDescent="0.3">
      <c r="A49" s="94">
        <v>1929</v>
      </c>
      <c r="B49" s="75">
        <v>-5.2999999999999999E-2</v>
      </c>
      <c r="C49" s="75">
        <v>-0.10100000000000001</v>
      </c>
      <c r="D49" s="75">
        <v>5.2999999999999999E-2</v>
      </c>
      <c r="E49" s="75">
        <v>5.6000000000000001E-2</v>
      </c>
      <c r="F49" s="95">
        <v>2.1999999999999999E-2</v>
      </c>
      <c r="G49" s="76"/>
      <c r="H49" s="77">
        <v>0</v>
      </c>
      <c r="I49" s="77"/>
      <c r="J49" s="75">
        <v>0</v>
      </c>
    </row>
    <row r="50" spans="1:10" ht="16.5" x14ac:dyDescent="0.3">
      <c r="A50" s="94">
        <v>1930</v>
      </c>
      <c r="B50" s="75">
        <v>-0.29599999999999999</v>
      </c>
      <c r="C50" s="75">
        <v>-0.33900000000000002</v>
      </c>
      <c r="D50" s="75">
        <v>5.8000000000000003E-2</v>
      </c>
      <c r="E50" s="75">
        <v>6.5000000000000002E-2</v>
      </c>
      <c r="F50" s="95">
        <v>-4.3999999999999997E-2</v>
      </c>
      <c r="G50" s="76"/>
      <c r="H50" s="77">
        <v>0</v>
      </c>
      <c r="I50" s="77"/>
      <c r="J50" s="75">
        <v>0</v>
      </c>
    </row>
    <row r="51" spans="1:10" ht="16.5" x14ac:dyDescent="0.3">
      <c r="A51" s="94">
        <v>1931</v>
      </c>
      <c r="B51" s="75">
        <v>0.17699999999999999</v>
      </c>
      <c r="C51" s="75">
        <v>0.113</v>
      </c>
      <c r="D51" s="75">
        <v>4.4999999999999998E-2</v>
      </c>
      <c r="E51" s="75">
        <v>4.7E-2</v>
      </c>
      <c r="F51" s="95">
        <v>-0.10299999999999999</v>
      </c>
      <c r="G51" s="76"/>
      <c r="H51" s="77">
        <v>0</v>
      </c>
      <c r="I51" s="77"/>
      <c r="J51" s="75">
        <v>0</v>
      </c>
    </row>
    <row r="52" spans="1:10" ht="16.5" x14ac:dyDescent="0.3">
      <c r="A52" s="94">
        <v>1932</v>
      </c>
      <c r="B52" s="75">
        <v>0.248</v>
      </c>
      <c r="C52" s="75">
        <v>0.19900000000000001</v>
      </c>
      <c r="D52" s="75">
        <v>3.9E-2</v>
      </c>
      <c r="E52" s="75">
        <v>3.9E-2</v>
      </c>
      <c r="F52" s="95">
        <v>-5.0999999999999997E-2</v>
      </c>
      <c r="G52" s="76"/>
      <c r="H52" s="77">
        <v>0</v>
      </c>
      <c r="I52" s="77"/>
      <c r="J52" s="75">
        <v>0</v>
      </c>
    </row>
    <row r="53" spans="1:10" ht="16.5" x14ac:dyDescent="0.3">
      <c r="A53" s="94">
        <v>1933</v>
      </c>
      <c r="B53" s="75">
        <v>0.25600000000000001</v>
      </c>
      <c r="C53" s="75">
        <v>0.21099999999999999</v>
      </c>
      <c r="D53" s="75">
        <v>3.7999999999999999E-2</v>
      </c>
      <c r="E53" s="75">
        <v>3.5999999999999997E-2</v>
      </c>
      <c r="F53" s="95">
        <v>-4.1000000000000002E-2</v>
      </c>
      <c r="G53" s="76"/>
      <c r="H53" s="77">
        <v>0</v>
      </c>
      <c r="I53" s="77"/>
      <c r="J53" s="75">
        <v>0</v>
      </c>
    </row>
    <row r="54" spans="1:10" ht="16.5" x14ac:dyDescent="0.3">
      <c r="A54" s="94">
        <v>1934</v>
      </c>
      <c r="B54" s="75">
        <v>0.23200000000000001</v>
      </c>
      <c r="C54" s="75">
        <v>0.191</v>
      </c>
      <c r="D54" s="75">
        <v>2.5999999999999999E-2</v>
      </c>
      <c r="E54" s="75">
        <v>3.3000000000000002E-2</v>
      </c>
      <c r="F54" s="95">
        <v>2.8000000000000001E-2</v>
      </c>
      <c r="G54" s="76"/>
      <c r="H54" s="77">
        <v>0</v>
      </c>
      <c r="I54" s="77"/>
      <c r="J54" s="75">
        <v>0</v>
      </c>
    </row>
    <row r="55" spans="1:10" ht="16.5" x14ac:dyDescent="0.3">
      <c r="A55" s="94">
        <v>1935</v>
      </c>
      <c r="B55" s="75">
        <v>0.10100000000000001</v>
      </c>
      <c r="C55" s="75">
        <v>6.2E-2</v>
      </c>
      <c r="D55" s="75">
        <v>2.5999999999999999E-2</v>
      </c>
      <c r="E55" s="75">
        <v>3.6999999999999998E-2</v>
      </c>
      <c r="F55" s="95">
        <v>1.4E-2</v>
      </c>
      <c r="G55" s="76"/>
      <c r="H55" s="77">
        <v>0</v>
      </c>
      <c r="I55" s="77"/>
      <c r="J55" s="75">
        <v>0</v>
      </c>
    </row>
    <row r="56" spans="1:10" ht="16.5" x14ac:dyDescent="0.3">
      <c r="A56" s="94">
        <v>1936</v>
      </c>
      <c r="B56" s="75">
        <v>0.19800000000000001</v>
      </c>
      <c r="C56" s="75">
        <v>0.154</v>
      </c>
      <c r="D56" s="75">
        <v>3.5000000000000003E-2</v>
      </c>
      <c r="E56" s="75">
        <v>0.04</v>
      </c>
      <c r="F56" s="95">
        <v>1.4E-2</v>
      </c>
      <c r="G56" s="76"/>
      <c r="H56" s="77">
        <v>0</v>
      </c>
      <c r="I56" s="77"/>
      <c r="J56" s="75">
        <v>0</v>
      </c>
    </row>
    <row r="57" spans="1:10" ht="16.5" x14ac:dyDescent="0.3">
      <c r="A57" s="94">
        <v>1937</v>
      </c>
      <c r="B57" s="75">
        <v>2.4E-2</v>
      </c>
      <c r="C57" s="75">
        <v>-1.7000000000000001E-2</v>
      </c>
      <c r="D57" s="75">
        <v>3.2000000000000001E-2</v>
      </c>
      <c r="E57" s="75">
        <v>3.6999999999999998E-2</v>
      </c>
      <c r="F57" s="95">
        <v>0.04</v>
      </c>
      <c r="G57" s="76"/>
      <c r="H57" s="77">
        <v>0</v>
      </c>
      <c r="I57" s="77"/>
      <c r="J57" s="75">
        <v>0</v>
      </c>
    </row>
    <row r="58" spans="1:10" ht="16.5" x14ac:dyDescent="0.3">
      <c r="A58" s="94">
        <v>1938</v>
      </c>
      <c r="B58" s="75">
        <v>-5.0000000000000001E-3</v>
      </c>
      <c r="C58" s="75">
        <v>-5.0999999999999997E-2</v>
      </c>
      <c r="D58" s="75">
        <v>3.7999999999999999E-2</v>
      </c>
      <c r="E58" s="75">
        <v>3.9E-2</v>
      </c>
      <c r="F58" s="95">
        <v>2.5999999999999999E-2</v>
      </c>
      <c r="G58" s="76"/>
      <c r="H58" s="77">
        <v>0</v>
      </c>
      <c r="I58" s="77"/>
      <c r="J58" s="75">
        <v>0</v>
      </c>
    </row>
    <row r="59" spans="1:10" ht="16.5" x14ac:dyDescent="0.3">
      <c r="A59" s="94">
        <v>1939</v>
      </c>
      <c r="B59" s="75">
        <v>5.2999999999999999E-2</v>
      </c>
      <c r="C59" s="75">
        <v>2E-3</v>
      </c>
      <c r="D59" s="75">
        <v>3.6999999999999998E-2</v>
      </c>
      <c r="E59" s="75">
        <v>3.7999999999999999E-2</v>
      </c>
      <c r="F59" s="95">
        <v>2.5000000000000001E-2</v>
      </c>
      <c r="G59" s="76"/>
      <c r="H59" s="77">
        <v>0</v>
      </c>
      <c r="I59" s="77"/>
      <c r="J59" s="75">
        <v>0</v>
      </c>
    </row>
    <row r="60" spans="1:10" ht="16.5" x14ac:dyDescent="0.3">
      <c r="A60" s="94">
        <v>1940</v>
      </c>
      <c r="B60" s="75">
        <v>3.5000000000000003E-2</v>
      </c>
      <c r="C60" s="75">
        <v>-1.7000000000000001E-2</v>
      </c>
      <c r="D60" s="75">
        <v>2.9000000000000001E-2</v>
      </c>
      <c r="E60" s="75">
        <v>3.1E-2</v>
      </c>
      <c r="F60" s="95">
        <v>3.6999999999999998E-2</v>
      </c>
      <c r="G60" s="76"/>
      <c r="H60" s="77">
        <v>0</v>
      </c>
      <c r="I60" s="77"/>
      <c r="J60" s="75">
        <v>0</v>
      </c>
    </row>
    <row r="61" spans="1:10" ht="16.5" x14ac:dyDescent="0.3">
      <c r="A61" s="94">
        <v>1941</v>
      </c>
      <c r="B61" s="75">
        <v>-5.5E-2</v>
      </c>
      <c r="C61" s="75">
        <v>-0.10100000000000001</v>
      </c>
      <c r="D61" s="75">
        <v>2.5000000000000001E-2</v>
      </c>
      <c r="E61" s="75">
        <v>3.3000000000000002E-2</v>
      </c>
      <c r="F61" s="95">
        <v>4.7E-2</v>
      </c>
      <c r="G61" s="76"/>
      <c r="H61" s="77">
        <v>0</v>
      </c>
      <c r="I61" s="77"/>
      <c r="J61" s="75">
        <v>0</v>
      </c>
    </row>
    <row r="62" spans="1:10" ht="16.5" x14ac:dyDescent="0.3">
      <c r="A62" s="94">
        <v>1942</v>
      </c>
      <c r="B62" s="75">
        <v>0.184</v>
      </c>
      <c r="C62" s="75">
        <v>0.124</v>
      </c>
      <c r="D62" s="75">
        <v>2.5000000000000001E-2</v>
      </c>
      <c r="E62" s="75">
        <v>3.2000000000000001E-2</v>
      </c>
      <c r="F62" s="95">
        <v>0.09</v>
      </c>
      <c r="G62" s="76"/>
      <c r="H62" s="77">
        <v>0</v>
      </c>
      <c r="I62" s="77"/>
      <c r="J62" s="75">
        <v>0</v>
      </c>
    </row>
    <row r="63" spans="1:10" ht="16.5" x14ac:dyDescent="0.3">
      <c r="A63" s="94">
        <v>1943</v>
      </c>
      <c r="B63" s="75">
        <v>8.8999999999999996E-2</v>
      </c>
      <c r="C63" s="75">
        <v>4.4999999999999998E-2</v>
      </c>
      <c r="D63" s="75">
        <v>2.5000000000000001E-2</v>
      </c>
      <c r="E63" s="75">
        <v>3.2000000000000001E-2</v>
      </c>
      <c r="F63" s="95">
        <v>4.1000000000000002E-2</v>
      </c>
      <c r="G63" s="76"/>
      <c r="H63" s="77">
        <v>0</v>
      </c>
      <c r="I63" s="77"/>
      <c r="J63" s="75">
        <v>0</v>
      </c>
    </row>
    <row r="64" spans="1:10" ht="16.5" x14ac:dyDescent="0.3">
      <c r="A64" s="94">
        <v>1944</v>
      </c>
      <c r="B64" s="75">
        <v>0.08</v>
      </c>
      <c r="C64" s="75">
        <v>3.5999999999999997E-2</v>
      </c>
      <c r="D64" s="75">
        <v>2.5000000000000001E-2</v>
      </c>
      <c r="E64" s="75">
        <v>3.2000000000000001E-2</v>
      </c>
      <c r="F64" s="95">
        <v>-0.01</v>
      </c>
      <c r="G64" s="76"/>
      <c r="H64" s="77">
        <v>0</v>
      </c>
      <c r="I64" s="77"/>
      <c r="J64" s="75">
        <v>0</v>
      </c>
    </row>
    <row r="65" spans="1:10" ht="16.5" x14ac:dyDescent="0.3">
      <c r="A65" s="94">
        <v>1945</v>
      </c>
      <c r="B65" s="75">
        <v>0.14099999999999999</v>
      </c>
      <c r="C65" s="75">
        <v>9.6000000000000002E-2</v>
      </c>
      <c r="D65" s="75">
        <v>2.5000000000000001E-2</v>
      </c>
      <c r="E65" s="75">
        <v>3.3000000000000002E-2</v>
      </c>
      <c r="F65" s="95">
        <v>0</v>
      </c>
      <c r="G65" s="76"/>
      <c r="H65" s="77">
        <v>0</v>
      </c>
      <c r="I65" s="77"/>
      <c r="J65" s="75">
        <v>0</v>
      </c>
    </row>
    <row r="66" spans="1:10" ht="16.5" x14ac:dyDescent="0.3">
      <c r="A66" s="94">
        <v>1946</v>
      </c>
      <c r="B66" s="75">
        <v>0.13300000000000001</v>
      </c>
      <c r="C66" s="75">
        <v>9.1999999999999998E-2</v>
      </c>
      <c r="D66" s="75">
        <v>0.02</v>
      </c>
      <c r="E66" s="75">
        <v>3.2000000000000001E-2</v>
      </c>
      <c r="F66" s="95">
        <v>0.02</v>
      </c>
      <c r="G66" s="76"/>
      <c r="H66" s="77">
        <v>0</v>
      </c>
      <c r="I66" s="77"/>
      <c r="J66" s="75">
        <v>0</v>
      </c>
    </row>
    <row r="67" spans="1:10" ht="16.5" x14ac:dyDescent="0.3">
      <c r="A67" s="94">
        <v>1947</v>
      </c>
      <c r="B67" s="75">
        <v>0.16600000000000001</v>
      </c>
      <c r="C67" s="75">
        <v>0.127</v>
      </c>
      <c r="D67" s="75">
        <v>2.5000000000000001E-2</v>
      </c>
      <c r="E67" s="75">
        <v>3.2000000000000001E-2</v>
      </c>
      <c r="F67" s="95">
        <v>3.9E-2</v>
      </c>
      <c r="G67" s="76"/>
      <c r="H67" s="77">
        <v>0</v>
      </c>
      <c r="I67" s="77"/>
      <c r="J67" s="75">
        <v>0</v>
      </c>
    </row>
    <row r="68" spans="1:10" ht="16.5" x14ac:dyDescent="0.3">
      <c r="A68" s="94">
        <v>1948</v>
      </c>
      <c r="B68" s="75">
        <v>2.4E-2</v>
      </c>
      <c r="C68" s="75">
        <v>-1.0999999999999999E-2</v>
      </c>
      <c r="D68" s="75">
        <v>2.3E-2</v>
      </c>
      <c r="E68" s="75">
        <v>3.1E-2</v>
      </c>
      <c r="F68" s="95">
        <v>0.104</v>
      </c>
      <c r="G68" s="76"/>
      <c r="H68" s="77">
        <v>0</v>
      </c>
      <c r="I68" s="77"/>
      <c r="J68" s="75">
        <v>0</v>
      </c>
    </row>
    <row r="69" spans="1:10" ht="16.5" x14ac:dyDescent="0.3">
      <c r="A69" s="94">
        <v>1949</v>
      </c>
      <c r="B69" s="75">
        <v>8.1000000000000003E-2</v>
      </c>
      <c r="C69" s="75">
        <v>0.04</v>
      </c>
      <c r="D69" s="75">
        <v>0.02</v>
      </c>
      <c r="E69" s="75">
        <v>3.1E-2</v>
      </c>
      <c r="F69" s="95">
        <v>8.7999999999999995E-2</v>
      </c>
      <c r="G69" s="76"/>
      <c r="H69" s="77">
        <v>0</v>
      </c>
      <c r="I69" s="77"/>
      <c r="J69" s="75">
        <v>0</v>
      </c>
    </row>
    <row r="70" spans="1:10" ht="16.5" x14ac:dyDescent="0.3">
      <c r="A70" s="94">
        <v>1950</v>
      </c>
      <c r="B70" s="75">
        <v>0.314</v>
      </c>
      <c r="C70" s="75">
        <v>0.26700000000000002</v>
      </c>
      <c r="D70" s="75">
        <v>0.02</v>
      </c>
      <c r="E70" s="75">
        <v>3.2000000000000001E-2</v>
      </c>
      <c r="F70" s="95">
        <v>0.108</v>
      </c>
      <c r="G70" s="76"/>
      <c r="H70" s="77">
        <v>0</v>
      </c>
      <c r="I70" s="77"/>
      <c r="J70" s="75">
        <v>0</v>
      </c>
    </row>
    <row r="71" spans="1:10" ht="16.5" x14ac:dyDescent="0.3">
      <c r="A71" s="94">
        <v>1951</v>
      </c>
      <c r="B71" s="75">
        <v>-4.5999999999999999E-2</v>
      </c>
      <c r="C71" s="75">
        <v>-8.3000000000000004E-2</v>
      </c>
      <c r="D71" s="75">
        <v>0.02</v>
      </c>
      <c r="E71" s="75">
        <v>3.7999999999999999E-2</v>
      </c>
      <c r="F71" s="95">
        <v>0.25600000000000001</v>
      </c>
      <c r="G71" s="76"/>
      <c r="H71" s="77">
        <v>0</v>
      </c>
      <c r="I71" s="77"/>
      <c r="J71" s="75">
        <v>0</v>
      </c>
    </row>
    <row r="72" spans="1:10" ht="16.5" x14ac:dyDescent="0.3">
      <c r="A72" s="94">
        <v>1952</v>
      </c>
      <c r="B72" s="75">
        <v>-0.13300000000000001</v>
      </c>
      <c r="C72" s="75">
        <v>-0.17499999999999999</v>
      </c>
      <c r="D72" s="75">
        <v>3.2000000000000001E-2</v>
      </c>
      <c r="E72" s="75">
        <v>4.4999999999999998E-2</v>
      </c>
      <c r="F72" s="95">
        <v>9.7000000000000003E-2</v>
      </c>
      <c r="G72" s="76"/>
      <c r="H72" s="77">
        <v>0</v>
      </c>
      <c r="I72" s="77"/>
      <c r="J72" s="75">
        <v>0</v>
      </c>
    </row>
    <row r="73" spans="1:10" ht="16.5" x14ac:dyDescent="0.3">
      <c r="A73" s="94">
        <v>1953</v>
      </c>
      <c r="B73" s="75">
        <v>0.13</v>
      </c>
      <c r="C73" s="75">
        <v>7.6999999999999999E-2</v>
      </c>
      <c r="D73" s="75">
        <v>0.03</v>
      </c>
      <c r="E73" s="75">
        <v>4.3999999999999997E-2</v>
      </c>
      <c r="F73" s="95">
        <v>1.7999999999999999E-2</v>
      </c>
      <c r="G73" s="76"/>
      <c r="H73" s="77">
        <v>0</v>
      </c>
      <c r="I73" s="77"/>
      <c r="J73" s="75">
        <v>0</v>
      </c>
    </row>
    <row r="74" spans="1:10" ht="16.5" x14ac:dyDescent="0.3">
      <c r="A74" s="94">
        <v>1954</v>
      </c>
      <c r="B74" s="75">
        <v>0.186</v>
      </c>
      <c r="C74" s="75">
        <v>0.13100000000000001</v>
      </c>
      <c r="D74" s="75">
        <v>3.5000000000000003E-2</v>
      </c>
      <c r="E74" s="75">
        <v>4.4999999999999998E-2</v>
      </c>
      <c r="F74" s="95">
        <v>8.9999999999999993E-3</v>
      </c>
      <c r="G74" s="76"/>
      <c r="H74" s="77">
        <v>0</v>
      </c>
      <c r="I74" s="77"/>
      <c r="J74" s="75">
        <v>0</v>
      </c>
    </row>
    <row r="75" spans="1:10" ht="16.5" x14ac:dyDescent="0.3">
      <c r="A75" s="94">
        <v>1955</v>
      </c>
      <c r="B75" s="75">
        <v>0.10299999999999999</v>
      </c>
      <c r="C75" s="75">
        <v>4.7E-2</v>
      </c>
      <c r="D75" s="75">
        <v>4.2000000000000003E-2</v>
      </c>
      <c r="E75" s="75">
        <v>4.4999999999999998E-2</v>
      </c>
      <c r="F75" s="95">
        <v>3.4000000000000002E-2</v>
      </c>
      <c r="G75" s="76"/>
      <c r="H75" s="77">
        <v>0</v>
      </c>
      <c r="I75" s="77"/>
      <c r="J75" s="75">
        <v>0</v>
      </c>
    </row>
    <row r="76" spans="1:10" ht="16.5" x14ac:dyDescent="0.3">
      <c r="A76" s="94">
        <v>1956</v>
      </c>
      <c r="B76" s="75">
        <v>7.6999999999999999E-2</v>
      </c>
      <c r="C76" s="75">
        <v>1.7000000000000001E-2</v>
      </c>
      <c r="D76" s="75">
        <v>4.7E-2</v>
      </c>
      <c r="E76" s="75">
        <v>5.0999999999999997E-2</v>
      </c>
      <c r="F76" s="95">
        <v>6.7000000000000004E-2</v>
      </c>
      <c r="G76" s="76"/>
      <c r="H76" s="77">
        <v>0</v>
      </c>
      <c r="I76" s="77"/>
      <c r="J76" s="75">
        <v>0</v>
      </c>
    </row>
    <row r="77" spans="1:10" ht="16.5" x14ac:dyDescent="0.3">
      <c r="A77" s="94">
        <v>1957</v>
      </c>
      <c r="B77" s="75">
        <v>0.16700000000000001</v>
      </c>
      <c r="C77" s="75">
        <v>0.105</v>
      </c>
      <c r="D77" s="75">
        <v>4.3999999999999997E-2</v>
      </c>
      <c r="E77" s="75">
        <v>0.05</v>
      </c>
      <c r="F77" s="95">
        <v>8.0000000000000002E-3</v>
      </c>
      <c r="G77" s="76"/>
      <c r="H77" s="77">
        <v>0</v>
      </c>
      <c r="I77" s="77"/>
      <c r="J77" s="75">
        <v>0</v>
      </c>
    </row>
    <row r="78" spans="1:10" ht="16.5" x14ac:dyDescent="0.3">
      <c r="A78" s="94">
        <v>1958</v>
      </c>
      <c r="B78" s="75">
        <v>0.189</v>
      </c>
      <c r="C78" s="75">
        <v>0.129</v>
      </c>
      <c r="D78" s="75">
        <v>4.3999999999999997E-2</v>
      </c>
      <c r="E78" s="75">
        <v>4.9000000000000002E-2</v>
      </c>
      <c r="F78" s="95">
        <v>1.6E-2</v>
      </c>
      <c r="G78" s="76"/>
      <c r="H78" s="77">
        <v>0</v>
      </c>
      <c r="I78" s="77"/>
      <c r="J78" s="75">
        <v>0</v>
      </c>
    </row>
    <row r="79" spans="1:10" ht="16.5" x14ac:dyDescent="0.3">
      <c r="A79" s="94">
        <v>1959</v>
      </c>
      <c r="B79" s="75">
        <v>0.443</v>
      </c>
      <c r="C79" s="75">
        <v>0.38100000000000001</v>
      </c>
      <c r="D79" s="75">
        <v>4.1000000000000002E-2</v>
      </c>
      <c r="E79" s="75">
        <v>4.8000000000000001E-2</v>
      </c>
      <c r="F79" s="95">
        <v>2.3E-2</v>
      </c>
      <c r="G79" s="76"/>
      <c r="H79" s="77">
        <v>0</v>
      </c>
      <c r="I79" s="77"/>
      <c r="J79" s="75">
        <v>0</v>
      </c>
    </row>
    <row r="80" spans="1:10" ht="16.5" x14ac:dyDescent="0.3">
      <c r="A80" s="94">
        <v>1960</v>
      </c>
      <c r="B80" s="75">
        <v>-6.2E-2</v>
      </c>
      <c r="C80" s="75">
        <v>-9.9000000000000005E-2</v>
      </c>
      <c r="D80" s="75">
        <v>3.4000000000000002E-2</v>
      </c>
      <c r="E80" s="75">
        <v>5.2999999999999999E-2</v>
      </c>
      <c r="F80" s="95">
        <v>4.4999999999999998E-2</v>
      </c>
      <c r="G80" s="76"/>
      <c r="H80" s="77">
        <v>0</v>
      </c>
      <c r="I80" s="77"/>
      <c r="J80" s="75">
        <v>0</v>
      </c>
    </row>
    <row r="81" spans="1:10" ht="16.5" x14ac:dyDescent="0.3">
      <c r="A81" s="94">
        <v>1961</v>
      </c>
      <c r="B81" s="75">
        <v>0.11600000000000001</v>
      </c>
      <c r="C81" s="75">
        <v>6.6000000000000003E-2</v>
      </c>
      <c r="D81" s="75">
        <v>4.1000000000000002E-2</v>
      </c>
      <c r="E81" s="75">
        <v>4.9000000000000002E-2</v>
      </c>
      <c r="F81" s="95">
        <v>7.0000000000000001E-3</v>
      </c>
      <c r="G81" s="76"/>
      <c r="H81" s="77">
        <v>0</v>
      </c>
      <c r="I81" s="77"/>
      <c r="J81" s="75">
        <v>0</v>
      </c>
    </row>
    <row r="82" spans="1:10" ht="16.5" x14ac:dyDescent="0.3">
      <c r="A82" s="94">
        <v>1962</v>
      </c>
      <c r="B82" s="75">
        <v>4.2000000000000003E-2</v>
      </c>
      <c r="C82" s="75">
        <v>-1E-3</v>
      </c>
      <c r="D82" s="75">
        <v>3.7999999999999999E-2</v>
      </c>
      <c r="E82" s="75">
        <v>4.7E-2</v>
      </c>
      <c r="F82" s="95">
        <v>0</v>
      </c>
      <c r="G82" s="76"/>
      <c r="H82" s="77">
        <v>0</v>
      </c>
      <c r="I82" s="77"/>
      <c r="J82" s="75">
        <v>0</v>
      </c>
    </row>
    <row r="83" spans="1:10" ht="16.5" x14ac:dyDescent="0.3">
      <c r="A83" s="94">
        <v>1963</v>
      </c>
      <c r="B83" s="75">
        <v>0.26600000000000001</v>
      </c>
      <c r="C83" s="75">
        <v>0.216</v>
      </c>
      <c r="D83" s="75">
        <v>3.5000000000000003E-2</v>
      </c>
      <c r="E83" s="75">
        <v>4.2999999999999997E-2</v>
      </c>
      <c r="F83" s="95">
        <v>7.0000000000000001E-3</v>
      </c>
      <c r="G83" s="76"/>
      <c r="H83" s="77">
        <v>0</v>
      </c>
      <c r="I83" s="77"/>
      <c r="J83" s="75">
        <v>0</v>
      </c>
    </row>
    <row r="84" spans="1:10" ht="16.5" x14ac:dyDescent="0.3">
      <c r="A84" s="94">
        <v>1964</v>
      </c>
      <c r="B84" s="75">
        <v>4.3999999999999997E-2</v>
      </c>
      <c r="C84" s="75">
        <v>5.0000000000000001E-3</v>
      </c>
      <c r="D84" s="75">
        <v>3.5999999999999997E-2</v>
      </c>
      <c r="E84" s="75">
        <v>4.8000000000000001E-2</v>
      </c>
      <c r="F84" s="95">
        <v>3.5000000000000003E-2</v>
      </c>
      <c r="G84" s="76"/>
      <c r="H84" s="77">
        <v>0</v>
      </c>
      <c r="I84" s="77"/>
      <c r="J84" s="75">
        <v>0</v>
      </c>
    </row>
    <row r="85" spans="1:10" ht="16.5" x14ac:dyDescent="0.3">
      <c r="A85" s="94">
        <v>1965</v>
      </c>
      <c r="B85" s="75">
        <v>-8.2000000000000003E-2</v>
      </c>
      <c r="C85" s="75">
        <v>-0.121</v>
      </c>
      <c r="D85" s="75">
        <v>4.1000000000000002E-2</v>
      </c>
      <c r="E85" s="75">
        <v>5.1999999999999998E-2</v>
      </c>
      <c r="F85" s="95">
        <v>4.1000000000000002E-2</v>
      </c>
      <c r="G85" s="76"/>
      <c r="H85" s="77">
        <v>0</v>
      </c>
      <c r="I85" s="77"/>
      <c r="J85" s="75">
        <v>0</v>
      </c>
    </row>
    <row r="86" spans="1:10" ht="16.5" x14ac:dyDescent="0.3">
      <c r="A86" s="94">
        <v>1966</v>
      </c>
      <c r="B86" s="75">
        <v>6.7000000000000004E-2</v>
      </c>
      <c r="C86" s="75">
        <v>2.1000000000000001E-2</v>
      </c>
      <c r="D86" s="75">
        <v>4.5999999999999999E-2</v>
      </c>
      <c r="E86" s="75">
        <v>0.05</v>
      </c>
      <c r="F86" s="95">
        <v>2.5999999999999999E-2</v>
      </c>
      <c r="G86" s="76"/>
      <c r="H86" s="77">
        <v>0</v>
      </c>
      <c r="I86" s="77"/>
      <c r="J86" s="75">
        <v>0</v>
      </c>
    </row>
    <row r="87" spans="1:10" ht="16.5" x14ac:dyDescent="0.3">
      <c r="A87" s="94">
        <v>1967</v>
      </c>
      <c r="B87" s="75">
        <v>0.42499999999999999</v>
      </c>
      <c r="C87" s="75">
        <v>0.36899999999999999</v>
      </c>
      <c r="D87" s="75">
        <v>4.2999999999999997E-2</v>
      </c>
      <c r="E87" s="75">
        <v>5.0999999999999997E-2</v>
      </c>
      <c r="F87" s="95">
        <v>3.2000000000000001E-2</v>
      </c>
      <c r="G87" s="76"/>
      <c r="H87" s="77">
        <v>0</v>
      </c>
      <c r="I87" s="77"/>
      <c r="J87" s="75">
        <v>0</v>
      </c>
    </row>
    <row r="88" spans="1:10" ht="16.5" x14ac:dyDescent="0.3">
      <c r="A88" s="94">
        <v>1968</v>
      </c>
      <c r="B88" s="75">
        <v>0.34799999999999998</v>
      </c>
      <c r="C88" s="75">
        <v>0.307</v>
      </c>
      <c r="D88" s="75">
        <v>4.4999999999999998E-2</v>
      </c>
      <c r="E88" s="75">
        <v>4.9000000000000002E-2</v>
      </c>
      <c r="F88" s="95">
        <v>2.5000000000000001E-2</v>
      </c>
      <c r="G88" s="76"/>
      <c r="H88" s="77">
        <v>0</v>
      </c>
      <c r="I88" s="77"/>
      <c r="J88" s="75">
        <v>0</v>
      </c>
    </row>
    <row r="89" spans="1:10" ht="16.5" x14ac:dyDescent="0.3">
      <c r="A89" s="94">
        <v>1969</v>
      </c>
      <c r="B89" s="75">
        <v>0.10100000000000001</v>
      </c>
      <c r="C89" s="75">
        <v>6.9000000000000006E-2</v>
      </c>
      <c r="D89" s="75">
        <v>4.7E-2</v>
      </c>
      <c r="E89" s="75">
        <v>5.6000000000000001E-2</v>
      </c>
      <c r="F89" s="95">
        <v>0.03</v>
      </c>
      <c r="G89" s="76"/>
      <c r="H89" s="77">
        <v>0</v>
      </c>
      <c r="I89" s="77"/>
      <c r="J89" s="75">
        <v>0</v>
      </c>
    </row>
    <row r="90" spans="1:10" ht="16.5" x14ac:dyDescent="0.3">
      <c r="A90" s="94">
        <v>1970</v>
      </c>
      <c r="B90" s="75">
        <v>-0.13700000000000001</v>
      </c>
      <c r="C90" s="75">
        <v>-0.16700000000000001</v>
      </c>
      <c r="D90" s="75">
        <v>5.2999999999999999E-2</v>
      </c>
      <c r="E90" s="75">
        <v>6.4000000000000001E-2</v>
      </c>
      <c r="F90" s="95">
        <v>4.7E-2</v>
      </c>
      <c r="G90" s="76"/>
      <c r="H90" s="77">
        <v>0</v>
      </c>
      <c r="I90" s="77"/>
      <c r="J90" s="75">
        <v>0</v>
      </c>
    </row>
    <row r="91" spans="1:10" ht="16.5" x14ac:dyDescent="0.3">
      <c r="A91" s="94">
        <v>1971</v>
      </c>
      <c r="B91" s="75">
        <v>-6.0999999999999999E-2</v>
      </c>
      <c r="C91" s="75">
        <v>-9.8000000000000004E-2</v>
      </c>
      <c r="D91" s="75">
        <v>5.6000000000000001E-2</v>
      </c>
      <c r="E91" s="75">
        <v>5.7000000000000002E-2</v>
      </c>
      <c r="F91" s="95">
        <v>7.2999999999999995E-2</v>
      </c>
      <c r="G91" s="76"/>
      <c r="H91" s="77">
        <v>0</v>
      </c>
      <c r="I91" s="77"/>
      <c r="J91" s="75">
        <v>0</v>
      </c>
    </row>
    <row r="92" spans="1:10" ht="16.5" x14ac:dyDescent="0.3">
      <c r="A92" s="94">
        <v>1972</v>
      </c>
      <c r="B92" s="75">
        <v>0.36399999999999999</v>
      </c>
      <c r="C92" s="75">
        <v>0.318</v>
      </c>
      <c r="D92" s="75">
        <v>4.5999999999999999E-2</v>
      </c>
      <c r="E92" s="75">
        <v>5.2999999999999999E-2</v>
      </c>
      <c r="F92" s="95">
        <v>4.7E-2</v>
      </c>
      <c r="G92" s="76"/>
      <c r="H92" s="77">
        <v>0</v>
      </c>
      <c r="I92" s="77"/>
      <c r="J92" s="75">
        <v>0</v>
      </c>
    </row>
    <row r="93" spans="1:10" ht="16.5" x14ac:dyDescent="0.3">
      <c r="A93" s="94">
        <v>1973</v>
      </c>
      <c r="B93" s="75">
        <v>-0.25800000000000001</v>
      </c>
      <c r="C93" s="75">
        <v>-0.28699999999999998</v>
      </c>
      <c r="D93" s="75">
        <v>5.0999999999999997E-2</v>
      </c>
      <c r="E93" s="75">
        <v>8.1000000000000003E-2</v>
      </c>
      <c r="F93" s="95">
        <v>0.129</v>
      </c>
      <c r="G93" s="76"/>
      <c r="H93" s="77">
        <v>0</v>
      </c>
      <c r="I93" s="77"/>
      <c r="J93" s="75">
        <v>0</v>
      </c>
    </row>
    <row r="94" spans="1:10" ht="16.5" x14ac:dyDescent="0.3">
      <c r="A94" s="94">
        <v>1974</v>
      </c>
      <c r="B94" s="75">
        <v>-0.26200000000000001</v>
      </c>
      <c r="C94" s="75">
        <v>-0.309</v>
      </c>
      <c r="D94" s="75">
        <v>9.4E-2</v>
      </c>
      <c r="E94" s="75">
        <v>9.1999999999999998E-2</v>
      </c>
      <c r="F94" s="95">
        <v>0.16300000000000001</v>
      </c>
      <c r="G94" s="76"/>
      <c r="H94" s="77">
        <v>0</v>
      </c>
      <c r="I94" s="77"/>
      <c r="J94" s="75">
        <v>0</v>
      </c>
    </row>
    <row r="95" spans="1:10" ht="16.5" x14ac:dyDescent="0.3">
      <c r="A95" s="94">
        <v>1975</v>
      </c>
      <c r="B95" s="75">
        <v>0.54600000000000004</v>
      </c>
      <c r="C95" s="75">
        <v>0.45400000000000001</v>
      </c>
      <c r="D95" s="75">
        <v>7.9000000000000001E-2</v>
      </c>
      <c r="E95" s="75">
        <v>0.1</v>
      </c>
      <c r="F95" s="95">
        <v>0.14399999999999999</v>
      </c>
      <c r="G95" s="76"/>
      <c r="H95" s="77">
        <v>0</v>
      </c>
      <c r="I95" s="77"/>
      <c r="J95" s="75">
        <v>0</v>
      </c>
    </row>
    <row r="96" spans="1:10" ht="16.5" x14ac:dyDescent="0.3">
      <c r="A96" s="94">
        <v>1976</v>
      </c>
      <c r="B96" s="75">
        <v>3.5999999999999997E-2</v>
      </c>
      <c r="C96" s="75">
        <v>-0.02</v>
      </c>
      <c r="D96" s="75">
        <v>7.4999999999999997E-2</v>
      </c>
      <c r="E96" s="75">
        <v>0.104</v>
      </c>
      <c r="F96" s="95">
        <v>0.14199999999999999</v>
      </c>
      <c r="G96" s="76"/>
      <c r="H96" s="77">
        <v>0</v>
      </c>
      <c r="I96" s="77"/>
      <c r="J96" s="75">
        <v>0</v>
      </c>
    </row>
    <row r="97" spans="1:11" ht="16.5" x14ac:dyDescent="0.3">
      <c r="A97" s="94">
        <v>1977</v>
      </c>
      <c r="B97" s="75">
        <v>0.13200000000000001</v>
      </c>
      <c r="C97" s="75">
        <v>6.6000000000000003E-2</v>
      </c>
      <c r="D97" s="75">
        <v>8.8999999999999996E-2</v>
      </c>
      <c r="E97" s="75">
        <v>9.5000000000000001E-2</v>
      </c>
      <c r="F97" s="95">
        <v>9.2999999999999999E-2</v>
      </c>
      <c r="G97" s="76"/>
      <c r="H97" s="77">
        <v>0</v>
      </c>
      <c r="I97" s="77"/>
      <c r="J97" s="75">
        <v>0</v>
      </c>
    </row>
    <row r="98" spans="1:11" ht="16.5" x14ac:dyDescent="0.3">
      <c r="A98" s="94">
        <v>1978</v>
      </c>
      <c r="B98" s="75">
        <v>0.24299999999999999</v>
      </c>
      <c r="C98" s="75">
        <v>0.17599999999999999</v>
      </c>
      <c r="D98" s="75">
        <v>8.5999999999999993E-2</v>
      </c>
      <c r="E98" s="75">
        <v>8.7999999999999995E-2</v>
      </c>
      <c r="F98" s="95">
        <v>7.6999999999999999E-2</v>
      </c>
      <c r="G98" s="76"/>
      <c r="H98" s="77">
        <v>0</v>
      </c>
      <c r="I98" s="77"/>
      <c r="J98" s="75">
        <v>0</v>
      </c>
    </row>
    <row r="99" spans="1:11" ht="16.5" x14ac:dyDescent="0.3">
      <c r="A99" s="94">
        <v>1979</v>
      </c>
      <c r="B99" s="75">
        <v>0.39</v>
      </c>
      <c r="C99" s="75">
        <v>0.32</v>
      </c>
      <c r="D99" s="75">
        <v>0.09</v>
      </c>
      <c r="E99" s="75">
        <v>0.10100000000000001</v>
      </c>
      <c r="F99" s="95">
        <v>0.10100000000000001</v>
      </c>
      <c r="G99" s="76"/>
      <c r="H99" s="77">
        <v>0</v>
      </c>
      <c r="I99" s="77"/>
      <c r="J99" s="75">
        <v>0</v>
      </c>
    </row>
    <row r="100" spans="1:11" ht="16.5" x14ac:dyDescent="0.3">
      <c r="A100" s="94">
        <v>1980</v>
      </c>
      <c r="B100" s="75">
        <v>0.52300000000000002</v>
      </c>
      <c r="C100" s="75">
        <v>0.45800000000000002</v>
      </c>
      <c r="D100" s="75">
        <v>0.107</v>
      </c>
      <c r="E100" s="75">
        <v>0.126</v>
      </c>
      <c r="F100" s="95">
        <v>9.1999999999999998E-2</v>
      </c>
      <c r="G100" s="76"/>
      <c r="H100" s="77">
        <v>0</v>
      </c>
      <c r="I100" s="77"/>
      <c r="J100" s="75">
        <v>0</v>
      </c>
    </row>
    <row r="101" spans="1:11" ht="16.5" x14ac:dyDescent="0.3">
      <c r="A101" s="94">
        <v>1981</v>
      </c>
      <c r="B101" s="75">
        <v>-0.108</v>
      </c>
      <c r="C101" s="75">
        <v>-0.14399999999999999</v>
      </c>
      <c r="D101" s="75">
        <v>0.13600000000000001</v>
      </c>
      <c r="E101" s="75">
        <v>0.15</v>
      </c>
      <c r="F101" s="95">
        <v>0.113</v>
      </c>
      <c r="G101" s="76"/>
      <c r="H101" s="77">
        <v>0</v>
      </c>
      <c r="I101" s="77"/>
      <c r="J101" s="75">
        <v>0</v>
      </c>
    </row>
    <row r="102" spans="1:11" ht="16.5" x14ac:dyDescent="0.3">
      <c r="A102" s="94">
        <v>1982</v>
      </c>
      <c r="B102" s="75">
        <v>-0.153</v>
      </c>
      <c r="C102" s="75">
        <v>-0.19700000000000001</v>
      </c>
      <c r="D102" s="75">
        <v>0.156</v>
      </c>
      <c r="E102" s="75">
        <v>0.14000000000000001</v>
      </c>
      <c r="F102" s="95">
        <v>0.11</v>
      </c>
      <c r="G102" s="76"/>
      <c r="H102" s="77">
        <v>0</v>
      </c>
      <c r="I102" s="77"/>
      <c r="J102" s="75">
        <v>0</v>
      </c>
    </row>
    <row r="103" spans="1:11" ht="16.5" x14ac:dyDescent="0.3">
      <c r="A103" s="94">
        <v>1983</v>
      </c>
      <c r="B103" s="75">
        <v>0.63700000000000001</v>
      </c>
      <c r="C103" s="75">
        <v>0.56599999999999995</v>
      </c>
      <c r="D103" s="75">
        <v>0.11700000000000001</v>
      </c>
      <c r="E103" s="75">
        <v>0.13500000000000001</v>
      </c>
      <c r="F103" s="95">
        <v>8.5999999999999993E-2</v>
      </c>
      <c r="G103" s="76"/>
      <c r="H103" s="77">
        <v>0</v>
      </c>
      <c r="I103" s="77"/>
      <c r="J103" s="75">
        <v>0</v>
      </c>
    </row>
    <row r="104" spans="1:11" ht="16.5" x14ac:dyDescent="0.3">
      <c r="A104" s="94">
        <v>1984</v>
      </c>
      <c r="B104" s="75">
        <v>5.0000000000000001E-3</v>
      </c>
      <c r="C104" s="75">
        <v>-3.6999999999999998E-2</v>
      </c>
      <c r="D104" s="75">
        <v>0.111</v>
      </c>
      <c r="E104" s="75">
        <v>0.13400000000000001</v>
      </c>
      <c r="F104" s="95">
        <v>2.5999999999999999E-2</v>
      </c>
      <c r="G104" s="76"/>
      <c r="H104" s="77">
        <v>0</v>
      </c>
      <c r="I104" s="77"/>
      <c r="J104" s="75">
        <v>0</v>
      </c>
    </row>
    <row r="105" spans="1:11" ht="16.5" x14ac:dyDescent="0.3">
      <c r="A105" s="94">
        <v>1985</v>
      </c>
      <c r="B105" s="75">
        <v>0.42099999999999999</v>
      </c>
      <c r="C105" s="75">
        <v>0.36399999999999999</v>
      </c>
      <c r="D105" s="75">
        <v>0.15</v>
      </c>
      <c r="E105" s="75">
        <v>0.14899999999999999</v>
      </c>
      <c r="F105" s="95">
        <v>8.2000000000000003E-2</v>
      </c>
      <c r="G105" s="76"/>
      <c r="H105" s="77">
        <v>0</v>
      </c>
      <c r="I105" s="77"/>
      <c r="J105" s="75">
        <v>0</v>
      </c>
    </row>
    <row r="106" spans="1:11" ht="16.5" x14ac:dyDescent="0.3">
      <c r="A106" s="94">
        <v>1986</v>
      </c>
      <c r="B106" s="75">
        <v>0.51100000000000001</v>
      </c>
      <c r="C106" s="75">
        <v>0.45700000000000002</v>
      </c>
      <c r="D106" s="75">
        <v>0.17100000000000001</v>
      </c>
      <c r="E106" s="75">
        <v>0.13400000000000001</v>
      </c>
      <c r="F106" s="95">
        <v>9.8000000000000004E-2</v>
      </c>
      <c r="G106" s="76"/>
      <c r="H106" s="77">
        <v>0</v>
      </c>
      <c r="I106" s="77"/>
      <c r="J106" s="75">
        <v>0</v>
      </c>
    </row>
    <row r="107" spans="1:11" ht="16.5" x14ac:dyDescent="0.3">
      <c r="A107" s="94">
        <v>1987</v>
      </c>
      <c r="B107" s="75">
        <v>-9.6000000000000002E-2</v>
      </c>
      <c r="C107" s="75">
        <v>-0.121</v>
      </c>
      <c r="D107" s="75">
        <v>0.14099999999999999</v>
      </c>
      <c r="E107" s="75">
        <v>0.129</v>
      </c>
      <c r="F107" s="95">
        <v>7.0999999999999994E-2</v>
      </c>
      <c r="G107" s="78"/>
      <c r="H107" s="77">
        <v>0</v>
      </c>
      <c r="I107" s="77"/>
      <c r="J107" s="75">
        <v>0</v>
      </c>
      <c r="K107" s="14"/>
    </row>
    <row r="108" spans="1:11" ht="16.5" x14ac:dyDescent="0.3">
      <c r="A108" s="94">
        <v>1988</v>
      </c>
      <c r="B108" s="75">
        <v>0.21099999999999999</v>
      </c>
      <c r="C108" s="75">
        <v>0.161</v>
      </c>
      <c r="D108" s="75">
        <v>0.11700000000000001</v>
      </c>
      <c r="E108" s="75">
        <v>0.13</v>
      </c>
      <c r="F108" s="95">
        <v>7.5999999999999998E-2</v>
      </c>
      <c r="G108" s="78"/>
      <c r="H108" s="77">
        <v>0.75</v>
      </c>
      <c r="I108" s="77">
        <v>0.49</v>
      </c>
      <c r="J108" s="75">
        <v>3.6029411764705872E-2</v>
      </c>
      <c r="K108" s="14"/>
    </row>
    <row r="109" spans="1:11" ht="16.5" x14ac:dyDescent="0.3">
      <c r="A109" s="94">
        <v>1989</v>
      </c>
      <c r="B109" s="75">
        <v>0.17899999999999999</v>
      </c>
      <c r="C109" s="75">
        <v>0.113</v>
      </c>
      <c r="D109" s="75">
        <v>0.17299999999999999</v>
      </c>
      <c r="E109" s="75">
        <v>0.129</v>
      </c>
      <c r="F109" s="95">
        <v>7.8E-2</v>
      </c>
      <c r="G109" s="78"/>
      <c r="H109" s="77">
        <v>0.75</v>
      </c>
      <c r="I109" s="77">
        <v>0.39</v>
      </c>
      <c r="J109" s="75">
        <v>3.1647540983606552E-2</v>
      </c>
      <c r="K109" s="14"/>
    </row>
    <row r="110" spans="1:11" ht="16.5" x14ac:dyDescent="0.3">
      <c r="A110" s="94">
        <v>1990</v>
      </c>
      <c r="B110" s="75">
        <v>-0.153</v>
      </c>
      <c r="C110" s="75">
        <v>-0.20100000000000001</v>
      </c>
      <c r="D110" s="75">
        <v>0.159</v>
      </c>
      <c r="E110" s="75">
        <v>0.121</v>
      </c>
      <c r="F110" s="95">
        <v>6.9000000000000006E-2</v>
      </c>
      <c r="G110" s="78"/>
      <c r="H110" s="77">
        <v>0.75</v>
      </c>
      <c r="I110" s="77">
        <v>0.39</v>
      </c>
      <c r="J110" s="75">
        <v>2.3016393442622959E-2</v>
      </c>
      <c r="K110" s="14"/>
    </row>
    <row r="111" spans="1:11" ht="16.5" x14ac:dyDescent="0.3">
      <c r="A111" s="94">
        <v>1991</v>
      </c>
      <c r="B111" s="75">
        <v>0.27500000000000002</v>
      </c>
      <c r="C111" s="75">
        <v>0.222</v>
      </c>
      <c r="D111" s="75">
        <v>0.111</v>
      </c>
      <c r="E111" s="75">
        <v>9.4E-2</v>
      </c>
      <c r="F111" s="95">
        <v>1.4999999999999999E-2</v>
      </c>
      <c r="G111" s="78"/>
      <c r="H111" s="77">
        <v>0.75</v>
      </c>
      <c r="I111" s="77">
        <v>0.39</v>
      </c>
      <c r="J111" s="75">
        <v>2.541393442622952E-2</v>
      </c>
      <c r="K111" s="14"/>
    </row>
    <row r="112" spans="1:11" ht="16.5" x14ac:dyDescent="0.3">
      <c r="A112" s="94">
        <v>1992</v>
      </c>
      <c r="B112" s="75">
        <v>-2.1999999999999999E-2</v>
      </c>
      <c r="C112" s="75">
        <v>-0.06</v>
      </c>
      <c r="D112" s="75">
        <v>6.8000000000000005E-2</v>
      </c>
      <c r="E112" s="75">
        <v>8.8999999999999996E-2</v>
      </c>
      <c r="F112" s="95">
        <v>3.0000000000000001E-3</v>
      </c>
      <c r="G112" s="78"/>
      <c r="H112" s="77">
        <v>0.75</v>
      </c>
      <c r="I112" s="77">
        <v>0.39</v>
      </c>
      <c r="J112" s="75">
        <v>1.8221311475409837E-2</v>
      </c>
      <c r="K112" s="14"/>
    </row>
    <row r="113" spans="1:11" ht="16.5" x14ac:dyDescent="0.3">
      <c r="A113" s="94">
        <v>1993</v>
      </c>
      <c r="B113" s="75">
        <v>0.442</v>
      </c>
      <c r="C113" s="75">
        <v>0.39100000000000001</v>
      </c>
      <c r="D113" s="75">
        <v>5.2999999999999999E-2</v>
      </c>
      <c r="E113" s="75">
        <v>6.7000000000000004E-2</v>
      </c>
      <c r="F113" s="95">
        <v>1.9E-2</v>
      </c>
      <c r="G113" s="78"/>
      <c r="H113" s="77">
        <v>0.75</v>
      </c>
      <c r="I113" s="77">
        <v>0.33</v>
      </c>
      <c r="J113" s="75">
        <v>1.8839552238805971E-2</v>
      </c>
      <c r="K113" s="14"/>
    </row>
    <row r="114" spans="1:11" ht="16.5" x14ac:dyDescent="0.3">
      <c r="A114" s="94">
        <v>1994</v>
      </c>
      <c r="B114" s="75">
        <v>-5.8000000000000003E-2</v>
      </c>
      <c r="C114" s="75">
        <v>-9.1999999999999998E-2</v>
      </c>
      <c r="D114" s="75">
        <v>5.3999999999999999E-2</v>
      </c>
      <c r="E114" s="75">
        <v>0.1</v>
      </c>
      <c r="F114" s="95">
        <v>2.5000000000000001E-2</v>
      </c>
      <c r="G114" s="78"/>
      <c r="H114" s="77">
        <v>0.75</v>
      </c>
      <c r="I114" s="77">
        <v>0.33</v>
      </c>
      <c r="J114" s="75">
        <v>1.2559701492537313E-2</v>
      </c>
      <c r="K114" s="14"/>
    </row>
    <row r="115" spans="1:11" ht="16.5" x14ac:dyDescent="0.3">
      <c r="A115" s="94">
        <v>1995</v>
      </c>
      <c r="B115" s="75">
        <v>0.215</v>
      </c>
      <c r="C115" s="75">
        <v>0.16500000000000001</v>
      </c>
      <c r="D115" s="75">
        <v>0.08</v>
      </c>
      <c r="E115" s="75">
        <v>8.2000000000000003E-2</v>
      </c>
      <c r="F115" s="95">
        <v>5.0999999999999997E-2</v>
      </c>
      <c r="G115" s="78"/>
      <c r="H115" s="77">
        <v>0.75</v>
      </c>
      <c r="I115" s="77">
        <v>0.36</v>
      </c>
      <c r="J115" s="75">
        <v>2.1093749999999994E-2</v>
      </c>
      <c r="K115" s="14"/>
    </row>
    <row r="116" spans="1:11" ht="16.5" x14ac:dyDescent="0.3">
      <c r="A116" s="94">
        <v>1996</v>
      </c>
      <c r="B116" s="75">
        <v>0.11700000000000001</v>
      </c>
      <c r="C116" s="75">
        <v>7.1999999999999995E-2</v>
      </c>
      <c r="D116" s="75">
        <v>7.3999999999999996E-2</v>
      </c>
      <c r="E116" s="75">
        <v>7.3999999999999996E-2</v>
      </c>
      <c r="F116" s="95">
        <v>1.4999999999999999E-2</v>
      </c>
      <c r="G116" s="78"/>
      <c r="H116" s="77">
        <v>0.75</v>
      </c>
      <c r="I116" s="77">
        <v>0.36</v>
      </c>
      <c r="J116" s="75">
        <v>1.8984375000000005E-2</v>
      </c>
      <c r="K116" s="14"/>
    </row>
    <row r="117" spans="1:11" ht="16.5" x14ac:dyDescent="0.3">
      <c r="A117" s="94">
        <v>1997</v>
      </c>
      <c r="B117" s="75">
        <v>0.124</v>
      </c>
      <c r="C117" s="75">
        <v>7.9000000000000001E-2</v>
      </c>
      <c r="D117" s="75">
        <v>5.5E-2</v>
      </c>
      <c r="E117" s="75">
        <v>6.0999999999999999E-2</v>
      </c>
      <c r="F117" s="95">
        <v>-2E-3</v>
      </c>
      <c r="G117" s="78"/>
      <c r="H117" s="77">
        <v>0.75</v>
      </c>
      <c r="I117" s="77">
        <v>0.36</v>
      </c>
      <c r="J117" s="75">
        <v>1.8984375000000001E-2</v>
      </c>
      <c r="K117" s="14"/>
    </row>
    <row r="118" spans="1:11" ht="16.5" x14ac:dyDescent="0.3">
      <c r="A118" s="94">
        <v>1998</v>
      </c>
      <c r="B118" s="75">
        <v>0.11899999999999999</v>
      </c>
      <c r="C118" s="75">
        <v>7.6999999999999999E-2</v>
      </c>
      <c r="D118" s="75">
        <v>0.05</v>
      </c>
      <c r="E118" s="75">
        <v>0.05</v>
      </c>
      <c r="F118" s="95">
        <v>1.6E-2</v>
      </c>
      <c r="G118" s="79">
        <v>1.41E-2</v>
      </c>
      <c r="H118" s="80"/>
      <c r="I118" s="77"/>
      <c r="J118" s="75">
        <v>1.41E-2</v>
      </c>
    </row>
    <row r="119" spans="1:11" ht="16.5" x14ac:dyDescent="0.3">
      <c r="A119" s="94">
        <v>1999</v>
      </c>
      <c r="B119" s="75">
        <v>0.17599999999999999</v>
      </c>
      <c r="C119" s="75">
        <v>0.13500000000000001</v>
      </c>
      <c r="D119" s="75">
        <v>4.8000000000000001E-2</v>
      </c>
      <c r="E119" s="75">
        <v>7.0000000000000007E-2</v>
      </c>
      <c r="F119" s="95">
        <v>1.7999999999999999E-2</v>
      </c>
      <c r="G119" s="79">
        <v>1.3100000000000001E-2</v>
      </c>
      <c r="H119" s="80"/>
      <c r="I119" s="77"/>
      <c r="J119" s="75">
        <v>1.3100000000000001E-2</v>
      </c>
    </row>
    <row r="120" spans="1:11" ht="16.5" x14ac:dyDescent="0.3">
      <c r="A120" s="94">
        <v>2000</v>
      </c>
      <c r="B120" s="75">
        <v>6.5000000000000002E-2</v>
      </c>
      <c r="C120" s="75">
        <v>2.9000000000000001E-2</v>
      </c>
      <c r="D120" s="75">
        <v>5.8999999999999997E-2</v>
      </c>
      <c r="E120" s="75">
        <v>5.5E-2</v>
      </c>
      <c r="F120" s="95">
        <v>5.8000000000000003E-2</v>
      </c>
      <c r="G120" s="79">
        <v>1.35E-2</v>
      </c>
      <c r="H120" s="80"/>
      <c r="I120" s="77"/>
      <c r="J120" s="75">
        <v>1.35E-2</v>
      </c>
    </row>
    <row r="121" spans="1:11" ht="16.5" x14ac:dyDescent="0.3">
      <c r="A121" s="94">
        <v>2001</v>
      </c>
      <c r="B121" s="75">
        <v>6.0999999999999999E-2</v>
      </c>
      <c r="C121" s="75">
        <v>2.5999999999999999E-2</v>
      </c>
      <c r="D121" s="75">
        <v>5.0999999999999997E-2</v>
      </c>
      <c r="E121" s="75">
        <v>0.06</v>
      </c>
      <c r="F121" s="95">
        <v>3.1E-2</v>
      </c>
      <c r="G121" s="79">
        <v>1.29E-2</v>
      </c>
      <c r="H121" s="80"/>
      <c r="I121" s="77"/>
      <c r="J121" s="75">
        <v>1.29E-2</v>
      </c>
    </row>
    <row r="122" spans="1:11" ht="16.5" x14ac:dyDescent="0.3">
      <c r="A122" s="94">
        <v>2002</v>
      </c>
      <c r="B122" s="75">
        <v>-6.2E-2</v>
      </c>
      <c r="C122" s="75">
        <v>-9.6000000000000002E-2</v>
      </c>
      <c r="D122" s="75">
        <v>4.7E-2</v>
      </c>
      <c r="E122" s="75">
        <v>5.1999999999999998E-2</v>
      </c>
      <c r="F122" s="95">
        <v>0.03</v>
      </c>
      <c r="G122" s="79">
        <v>1.1900000000000001E-2</v>
      </c>
      <c r="H122" s="80"/>
      <c r="I122" s="77"/>
      <c r="J122" s="75">
        <v>1.1900000000000001E-2</v>
      </c>
    </row>
    <row r="123" spans="1:11" ht="16.5" x14ac:dyDescent="0.3">
      <c r="A123" s="94">
        <v>2003</v>
      </c>
      <c r="B123" s="100">
        <v>0.13400000000000001</v>
      </c>
      <c r="C123" s="75">
        <v>8.6999999999999994E-2</v>
      </c>
      <c r="D123" s="75">
        <v>4.9000000000000002E-2</v>
      </c>
      <c r="E123" s="75">
        <v>5.6000000000000001E-2</v>
      </c>
      <c r="F123" s="95">
        <v>2.4E-2</v>
      </c>
      <c r="G123" s="79">
        <v>1.8100000000000002E-2</v>
      </c>
      <c r="H123" s="80"/>
      <c r="I123" s="77"/>
      <c r="J123" s="75">
        <v>1.8100000000000002E-2</v>
      </c>
    </row>
    <row r="124" spans="1:11" ht="16.5" x14ac:dyDescent="0.3">
      <c r="A124" s="94">
        <v>2004</v>
      </c>
      <c r="B124" s="100">
        <v>0.27800000000000002</v>
      </c>
      <c r="C124" s="75">
        <v>0.22800000000000001</v>
      </c>
      <c r="D124" s="75">
        <v>5.6000000000000001E-2</v>
      </c>
      <c r="E124" s="75">
        <v>5.2999999999999999E-2</v>
      </c>
      <c r="F124" s="95">
        <v>2.5999999999999999E-2</v>
      </c>
      <c r="G124" s="79">
        <v>1.2999999999999999E-2</v>
      </c>
      <c r="H124" s="80"/>
      <c r="I124" s="77"/>
      <c r="J124" s="75">
        <v>1.2999999999999999E-2</v>
      </c>
    </row>
    <row r="125" spans="1:11" ht="16.5" x14ac:dyDescent="0.3">
      <c r="A125" s="94">
        <v>2005</v>
      </c>
      <c r="B125" s="100">
        <v>0.20599999999999999</v>
      </c>
      <c r="C125" s="75">
        <v>0.157</v>
      </c>
      <c r="D125" s="75">
        <v>5.8000000000000003E-2</v>
      </c>
      <c r="E125" s="75">
        <v>5.1999999999999998E-2</v>
      </c>
      <c r="F125" s="95">
        <v>2.8000000000000001E-2</v>
      </c>
      <c r="G125" s="79">
        <v>1.34E-2</v>
      </c>
      <c r="H125" s="80"/>
      <c r="I125" s="77"/>
      <c r="J125" s="75">
        <v>1.34E-2</v>
      </c>
    </row>
    <row r="126" spans="1:11" ht="16.5" x14ac:dyDescent="0.3">
      <c r="A126" s="94">
        <v>2006</v>
      </c>
      <c r="B126" s="100">
        <v>0.249</v>
      </c>
      <c r="C126" s="75">
        <v>0.19800000000000001</v>
      </c>
      <c r="D126" s="75">
        <v>0.06</v>
      </c>
      <c r="E126" s="75">
        <v>5.8999999999999997E-2</v>
      </c>
      <c r="F126" s="95">
        <v>3.3000000000000002E-2</v>
      </c>
      <c r="G126" s="79">
        <v>1.32E-2</v>
      </c>
      <c r="H126" s="80"/>
      <c r="I126" s="77"/>
      <c r="J126" s="75">
        <v>1.32E-2</v>
      </c>
    </row>
    <row r="127" spans="1:11" ht="16.5" x14ac:dyDescent="0.3">
      <c r="A127" s="94">
        <v>2007</v>
      </c>
      <c r="B127" s="99">
        <v>0.223</v>
      </c>
      <c r="C127" s="77">
        <v>0.17899999999999999</v>
      </c>
      <c r="D127" s="77">
        <v>6.7000000000000004E-2</v>
      </c>
      <c r="E127" s="77">
        <v>6.3E-2</v>
      </c>
      <c r="F127" s="96">
        <v>0.03</v>
      </c>
      <c r="G127" s="79">
        <v>1.0800000000000001E-2</v>
      </c>
      <c r="H127" s="80"/>
      <c r="I127" s="77"/>
      <c r="J127" s="75">
        <v>1.0800000000000001E-2</v>
      </c>
    </row>
    <row r="128" spans="1:11" ht="16.5" x14ac:dyDescent="0.3">
      <c r="A128" s="94">
        <v>2008</v>
      </c>
      <c r="B128" s="99">
        <v>-0.433</v>
      </c>
      <c r="C128" s="77">
        <v>-0.45800000000000002</v>
      </c>
      <c r="D128" s="77">
        <v>7.6999999999999999E-2</v>
      </c>
      <c r="E128" s="77">
        <v>0.04</v>
      </c>
      <c r="F128" s="96">
        <v>3.6999999999999998E-2</v>
      </c>
      <c r="G128" s="79">
        <v>1.4E-2</v>
      </c>
      <c r="H128" s="80"/>
      <c r="I128" s="77"/>
      <c r="J128" s="75">
        <v>1.4E-2</v>
      </c>
    </row>
    <row r="129" spans="1:10" ht="16.5" x14ac:dyDescent="0.3">
      <c r="A129" s="94">
        <v>2009</v>
      </c>
      <c r="B129" s="99">
        <v>0.40400000000000003</v>
      </c>
      <c r="C129" s="77">
        <v>0.34100000000000003</v>
      </c>
      <c r="D129" s="77">
        <v>3.3000000000000002E-2</v>
      </c>
      <c r="E129" s="77">
        <v>5.7036397984886647E-2</v>
      </c>
      <c r="F129" s="96">
        <v>2.1000000000000001E-2</v>
      </c>
      <c r="G129" s="79">
        <v>1.3100000000000001E-2</v>
      </c>
      <c r="H129" s="80"/>
      <c r="I129" s="77"/>
      <c r="J129" s="75">
        <v>1.3100000000000001E-2</v>
      </c>
    </row>
    <row r="130" spans="1:10" ht="16.5" x14ac:dyDescent="0.3">
      <c r="A130" s="94">
        <v>2010</v>
      </c>
      <c r="B130" s="99">
        <v>6.4000000000000001E-2</v>
      </c>
      <c r="C130" s="77">
        <v>2.1999999999999999E-2</v>
      </c>
      <c r="D130" s="77">
        <v>4.3999999999999997E-2</v>
      </c>
      <c r="E130" s="77">
        <v>5.5363291139240503E-2</v>
      </c>
      <c r="F130" s="96">
        <v>2.7E-2</v>
      </c>
      <c r="G130" s="79">
        <v>1.21E-2</v>
      </c>
      <c r="H130" s="80"/>
      <c r="I130" s="77"/>
      <c r="J130" s="75">
        <v>1.21E-2</v>
      </c>
    </row>
    <row r="131" spans="1:10" ht="16.5" x14ac:dyDescent="0.3">
      <c r="A131" s="94">
        <v>2011</v>
      </c>
      <c r="B131" s="99">
        <v>-8.5000000000000006E-2</v>
      </c>
      <c r="C131" s="59">
        <v>-0.124</v>
      </c>
      <c r="D131" s="77"/>
      <c r="E131" s="59">
        <v>3.7345070422535209E-2</v>
      </c>
      <c r="F131" s="98">
        <v>0.03</v>
      </c>
      <c r="G131" s="79">
        <v>1.37E-2</v>
      </c>
      <c r="H131" s="80"/>
      <c r="I131" s="77"/>
      <c r="J131" s="75">
        <v>1.37E-2</v>
      </c>
    </row>
    <row r="132" spans="1:10" ht="16.5" x14ac:dyDescent="0.3">
      <c r="A132" s="97">
        <v>2012</v>
      </c>
      <c r="B132" s="99">
        <v>0.13800000000000001</v>
      </c>
      <c r="C132" s="59">
        <v>8.5999999999999993E-2</v>
      </c>
      <c r="D132" s="77"/>
      <c r="E132" s="59">
        <v>3.2481964285714288E-2</v>
      </c>
      <c r="F132" s="98">
        <v>2.2000000000000002E-2</v>
      </c>
      <c r="G132" s="79">
        <v>1.52E-2</v>
      </c>
      <c r="H132" s="77"/>
      <c r="I132" s="77"/>
      <c r="J132" s="75">
        <v>1.52E-2</v>
      </c>
    </row>
    <row r="133" spans="1:10" ht="16.5" x14ac:dyDescent="0.3">
      <c r="A133" s="97">
        <v>2013</v>
      </c>
      <c r="B133" s="99">
        <v>0.18099999999999999</v>
      </c>
      <c r="C133" s="59">
        <v>0.13300000000000001</v>
      </c>
      <c r="D133" s="77"/>
      <c r="E133" s="59">
        <v>4.1948087431693988E-2</v>
      </c>
      <c r="F133" s="98">
        <v>2.7000000000000003E-2</v>
      </c>
      <c r="G133" s="79">
        <v>1.43E-2</v>
      </c>
      <c r="H133" s="77"/>
      <c r="I133" s="77"/>
      <c r="J133" s="75">
        <v>1.43E-2</v>
      </c>
    </row>
    <row r="134" spans="1:10" ht="16.5" x14ac:dyDescent="0.3">
      <c r="A134" s="97">
        <v>2014</v>
      </c>
      <c r="B134" s="99">
        <v>5.8000000000000003E-2</v>
      </c>
      <c r="C134" s="59">
        <v>1.4999999999999999E-2</v>
      </c>
      <c r="D134" s="77"/>
      <c r="E134" s="59">
        <v>2.7871917808219179E-2</v>
      </c>
      <c r="F134" s="98">
        <v>1.7000000000000001E-2</v>
      </c>
      <c r="G134" s="79">
        <v>1.43E-2</v>
      </c>
      <c r="H134" s="77"/>
      <c r="I134" s="77"/>
      <c r="J134" s="77">
        <v>1.43E-2</v>
      </c>
    </row>
    <row r="135" spans="1:10" ht="16.5" x14ac:dyDescent="0.3">
      <c r="A135" s="97">
        <v>2015</v>
      </c>
      <c r="B135" s="99">
        <v>2.7E-2</v>
      </c>
      <c r="C135" s="59">
        <v>-1.9E-2</v>
      </c>
      <c r="D135" s="77"/>
      <c r="E135" s="59">
        <v>2.8602328767123288E-2</v>
      </c>
      <c r="F135" s="98">
        <v>1.7000000000000001E-2</v>
      </c>
      <c r="G135" s="79">
        <v>1.4999999999999999E-2</v>
      </c>
      <c r="H135" s="77"/>
      <c r="I135" s="77"/>
      <c r="J135" s="77">
        <v>1.4999999999999999E-2</v>
      </c>
    </row>
    <row r="136" spans="1:10" ht="16.5" x14ac:dyDescent="0.3">
      <c r="A136" s="97">
        <v>2016</v>
      </c>
      <c r="B136" s="99">
        <v>0.13</v>
      </c>
      <c r="C136" s="59">
        <v>8.3000000000000004E-2</v>
      </c>
      <c r="D136" s="77"/>
      <c r="E136" s="59">
        <v>2.7431232876712328E-2</v>
      </c>
      <c r="F136" s="98">
        <v>1.4999999999999999E-2</v>
      </c>
      <c r="G136" s="79">
        <v>1.37E-2</v>
      </c>
      <c r="H136" s="77"/>
      <c r="I136" s="77"/>
      <c r="J136" s="77">
        <v>1.37E-2</v>
      </c>
    </row>
    <row r="137" spans="1:10" ht="16.5" x14ac:dyDescent="0.3">
      <c r="A137" s="97">
        <v>2017</v>
      </c>
      <c r="B137" s="99">
        <v>0.13600000000000001</v>
      </c>
      <c r="C137" s="59">
        <v>8.8999999999999996E-2</v>
      </c>
      <c r="D137" s="77"/>
      <c r="E137" s="59">
        <v>2.6373076923076923E-2</v>
      </c>
      <c r="F137" s="98">
        <v>1.9E-2</v>
      </c>
      <c r="G137" s="79">
        <v>1.37E-2</v>
      </c>
      <c r="H137" s="77"/>
      <c r="I137" s="77"/>
      <c r="J137" s="77">
        <v>1.37E-2</v>
      </c>
    </row>
    <row r="138" spans="1:10" ht="16.5" x14ac:dyDescent="0.3">
      <c r="A138" s="97">
        <v>2018</v>
      </c>
      <c r="B138" s="99">
        <v>-0.03</v>
      </c>
      <c r="C138" s="59">
        <v>-6.9000000000000006E-2</v>
      </c>
      <c r="D138" s="77"/>
      <c r="E138" s="59">
        <v>2.3163245033112581E-2</v>
      </c>
      <c r="F138" s="98">
        <v>1.8000000000000002E-2</v>
      </c>
      <c r="G138" s="79">
        <v>1.35E-2</v>
      </c>
      <c r="H138" s="77"/>
      <c r="I138" s="77"/>
      <c r="J138" s="77">
        <v>1.35E-2</v>
      </c>
    </row>
    <row r="139" spans="1:10" ht="16.5" x14ac:dyDescent="0.3">
      <c r="A139" s="97">
        <v>2019</v>
      </c>
      <c r="B139" s="99">
        <v>0.25800000000000001</v>
      </c>
      <c r="C139" s="59">
        <v>0.20799999999999999</v>
      </c>
      <c r="D139" s="77"/>
      <c r="E139" s="59">
        <v>1.373314917127072E-2</v>
      </c>
      <c r="F139" s="98">
        <v>1.8000000000000002E-2</v>
      </c>
      <c r="G139" s="79">
        <v>1.2800000000000001E-2</v>
      </c>
      <c r="H139" s="77"/>
      <c r="I139" s="77"/>
      <c r="J139" s="77">
        <v>1.2800000000000001E-2</v>
      </c>
    </row>
    <row r="140" spans="1:10" ht="16.5" x14ac:dyDescent="0.3">
      <c r="A140" s="97">
        <v>2020</v>
      </c>
      <c r="B140" s="99">
        <v>3.4000000000000002E-2</v>
      </c>
      <c r="C140" s="59">
        <v>4.0000000000000001E-3</v>
      </c>
      <c r="D140" s="77"/>
      <c r="E140" s="59">
        <v>9.7192307692307682E-3</v>
      </c>
      <c r="F140" s="98">
        <v>9.0000000000000011E-3</v>
      </c>
      <c r="G140" s="79">
        <v>9.2999999999999992E-3</v>
      </c>
      <c r="H140" s="77"/>
      <c r="I140" s="77"/>
      <c r="J140" s="77">
        <v>9.2999999999999992E-3</v>
      </c>
    </row>
    <row r="141" spans="1:10" ht="16.5" x14ac:dyDescent="0.3">
      <c r="A141" s="97">
        <v>2021</v>
      </c>
      <c r="B141" s="99">
        <v>0.152</v>
      </c>
      <c r="C141" s="59">
        <v>0.111</v>
      </c>
      <c r="D141" s="77"/>
      <c r="E141" s="59">
        <v>1.6732967032967033E-2</v>
      </c>
      <c r="F141" s="98">
        <v>3.5000000000000003E-2</v>
      </c>
      <c r="G141" s="79">
        <v>1.23E-2</v>
      </c>
      <c r="H141" s="77"/>
      <c r="I141" s="77"/>
      <c r="J141" s="77">
        <v>1.23E-2</v>
      </c>
    </row>
    <row r="142" spans="1:10" ht="16.5" x14ac:dyDescent="0.3">
      <c r="A142" s="13">
        <v>2022</v>
      </c>
      <c r="B142" s="102">
        <f>-5.68327557634653/100</f>
        <v>-5.6832755763465297E-2</v>
      </c>
      <c r="C142" s="74"/>
      <c r="D142" s="74"/>
      <c r="E142" s="10">
        <v>3.9300464574669292E-2</v>
      </c>
      <c r="G142" s="101">
        <f>G141</f>
        <v>1.23E-2</v>
      </c>
      <c r="J142" s="101">
        <f>J141</f>
        <v>1.23E-2</v>
      </c>
    </row>
    <row r="145" spans="1:6" ht="14.5" x14ac:dyDescent="0.35">
      <c r="A145" s="92" t="s">
        <v>53</v>
      </c>
      <c r="B145" s="91" t="s">
        <v>52</v>
      </c>
    </row>
    <row r="146" spans="1:6" ht="14.5" x14ac:dyDescent="0.35">
      <c r="A146" s="92" t="s">
        <v>54</v>
      </c>
      <c r="B146" s="91" t="s">
        <v>55</v>
      </c>
    </row>
    <row r="147" spans="1:6" ht="14.5" x14ac:dyDescent="0.35">
      <c r="A147" s="92" t="s">
        <v>56</v>
      </c>
      <c r="B147" s="91" t="s">
        <v>57</v>
      </c>
    </row>
    <row r="148" spans="1:6" ht="14.5" x14ac:dyDescent="0.35">
      <c r="A148" s="92" t="s">
        <v>58</v>
      </c>
      <c r="B148" s="91" t="s">
        <v>60</v>
      </c>
      <c r="C148" s="13"/>
      <c r="D148" s="13"/>
      <c r="E148" s="13"/>
      <c r="F148" s="13"/>
    </row>
    <row r="149" spans="1:6" ht="14.5" x14ac:dyDescent="0.35">
      <c r="A149" s="92" t="s">
        <v>59</v>
      </c>
      <c r="B149" s="93" t="s">
        <v>61</v>
      </c>
      <c r="C149" s="16"/>
      <c r="D149" s="16"/>
      <c r="E149" s="16"/>
      <c r="F149" s="16"/>
    </row>
    <row r="150" spans="1:6" ht="14.5" x14ac:dyDescent="0.35">
      <c r="A150" s="92" t="s">
        <v>62</v>
      </c>
      <c r="B150" s="93" t="s">
        <v>63</v>
      </c>
      <c r="C150" s="17"/>
      <c r="D150" s="17"/>
      <c r="E150" s="17"/>
      <c r="F150" s="17"/>
    </row>
    <row r="151" spans="1:6" ht="16.5" x14ac:dyDescent="0.3">
      <c r="A151" s="13"/>
      <c r="B151" s="16"/>
      <c r="C151" s="16"/>
      <c r="D151" s="16"/>
      <c r="E151" s="16"/>
      <c r="F151" s="16"/>
    </row>
    <row r="152" spans="1:6" ht="16.5" x14ac:dyDescent="0.3">
      <c r="B152" s="17"/>
      <c r="C152" s="17"/>
      <c r="D152" s="17"/>
      <c r="E152" s="17"/>
      <c r="F152" s="17"/>
    </row>
  </sheetData>
  <customSheetViews>
    <customSheetView guid="{2E9D4B95-D3A5-4B88-BEE5-1085751D117B}">
      <pane ySplit="2" topLeftCell="A102" activePane="bottomLeft" state="frozen"/>
      <selection pane="bottomLeft" activeCell="D138" sqref="D138"/>
      <pageMargins left="0.7" right="0.7" top="0.75" bottom="0.75" header="0.3" footer="0.3"/>
      <pageSetup paperSize="9" scale="93" orientation="portrait" r:id="rId1"/>
    </customSheetView>
  </customSheetViews>
  <mergeCells count="2">
    <mergeCell ref="A1:F1"/>
    <mergeCell ref="G1:J1"/>
  </mergeCells>
  <hyperlinks>
    <hyperlink ref="B145" r:id="rId2" location="overview" xr:uid="{A564E25A-C8DE-47F8-A2D3-CCCF8E24571C}"/>
    <hyperlink ref="B146" r:id="rId3" xr:uid="{CAD4364B-B4BC-4F8F-9AC5-442785442104}"/>
    <hyperlink ref="B147" r:id="rId4" xr:uid="{058BE822-CA18-4FE5-81F7-8224FCD08BDF}"/>
    <hyperlink ref="B148" r:id="rId5" xr:uid="{EDB2EBB6-6236-4516-BBF3-D67703890D05}"/>
    <hyperlink ref="B149" r:id="rId6" location="data-download" xr:uid="{79A869F4-AA4C-41E2-B777-A6380E7ADE40}"/>
    <hyperlink ref="B150" r:id="rId7" display="Imputation credits from ATO" xr:uid="{FE5C0722-AE29-4A93-8458-CC7278D69048}"/>
  </hyperlinks>
  <pageMargins left="0.7" right="0.7" top="0.75" bottom="0.75" header="0.3" footer="0.3"/>
  <pageSetup paperSize="9" scale="93" orientation="portrait"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:AS175"/>
  <sheetViews>
    <sheetView showGridLines="0" zoomScaleNormal="100" workbookViewId="0">
      <pane xSplit="1" ySplit="2" topLeftCell="B145" activePane="bottomRight" state="frozen"/>
      <selection pane="topRight" activeCell="B1" sqref="B1"/>
      <selection pane="bottomLeft" activeCell="A3" sqref="A3"/>
      <selection pane="bottomRight" activeCell="X154" sqref="X154"/>
    </sheetView>
  </sheetViews>
  <sheetFormatPr defaultColWidth="9.1796875" defaultRowHeight="15.5" x14ac:dyDescent="0.35"/>
  <cols>
    <col min="1" max="1" width="42.7265625" style="18" customWidth="1"/>
    <col min="2" max="3" width="14.453125" style="18" customWidth="1"/>
    <col min="4" max="5" width="14.1796875" style="18" customWidth="1"/>
    <col min="6" max="6" width="12" style="18" customWidth="1"/>
    <col min="7" max="7" width="14" style="33" customWidth="1"/>
    <col min="8" max="9" width="12.26953125" style="38" customWidth="1"/>
    <col min="10" max="10" width="12.54296875" style="38" customWidth="1"/>
    <col min="11" max="12" width="12.81640625" style="33" customWidth="1"/>
    <col min="13" max="13" width="13.453125" style="38" customWidth="1"/>
    <col min="14" max="14" width="13.1796875" style="38" customWidth="1"/>
    <col min="15" max="17" width="18.1796875" style="18" customWidth="1"/>
    <col min="18" max="18" width="19.453125" style="18" customWidth="1"/>
    <col min="19" max="19" width="27.81640625" style="18" customWidth="1"/>
    <col min="20" max="23" width="21.54296875" style="18" customWidth="1"/>
    <col min="24" max="24" width="43.54296875" style="18" customWidth="1"/>
    <col min="25" max="25" width="18.453125" style="18" bestFit="1" customWidth="1"/>
    <col min="26" max="26" width="14.54296875" style="18" customWidth="1"/>
    <col min="27" max="27" width="15.81640625" style="18" customWidth="1"/>
    <col min="28" max="28" width="13.453125" style="33" customWidth="1"/>
    <col min="29" max="29" width="21.54296875" style="33" bestFit="1" customWidth="1"/>
    <col min="30" max="30" width="15.26953125" style="33" customWidth="1"/>
    <col min="31" max="31" width="17.453125" style="33" bestFit="1" customWidth="1"/>
    <col min="32" max="32" width="13.54296875" style="33" bestFit="1" customWidth="1"/>
    <col min="33" max="33" width="22.453125" style="33" bestFit="1" customWidth="1"/>
    <col min="34" max="36" width="9.1796875" style="33"/>
    <col min="37" max="37" width="13.54296875" style="33" bestFit="1" customWidth="1"/>
    <col min="38" max="44" width="9.1796875" style="33"/>
    <col min="45" max="16384" width="9.1796875" style="18"/>
  </cols>
  <sheetData>
    <row r="1" spans="1:33" ht="15.75" customHeight="1" thickBot="1" x14ac:dyDescent="0.4">
      <c r="A1" s="135" t="s">
        <v>12</v>
      </c>
      <c r="B1" s="136"/>
      <c r="C1" s="136"/>
      <c r="D1" s="136"/>
      <c r="E1" s="136"/>
      <c r="F1" s="137"/>
      <c r="G1" s="41"/>
      <c r="H1" s="42">
        <v>0</v>
      </c>
      <c r="I1" s="42"/>
      <c r="J1" s="42"/>
      <c r="K1" s="82"/>
      <c r="L1" s="108"/>
      <c r="M1" s="83">
        <v>0.65</v>
      </c>
      <c r="N1" s="83"/>
      <c r="O1" s="84"/>
      <c r="P1" s="81"/>
      <c r="Q1" s="81"/>
      <c r="R1" s="81"/>
      <c r="S1" s="81"/>
    </row>
    <row r="2" spans="1:33" ht="77.5" x14ac:dyDescent="0.35">
      <c r="A2" s="19" t="s">
        <v>0</v>
      </c>
      <c r="B2" s="19" t="s">
        <v>45</v>
      </c>
      <c r="C2" s="86" t="s">
        <v>66</v>
      </c>
      <c r="D2" s="86" t="s">
        <v>44</v>
      </c>
      <c r="E2" s="86" t="s">
        <v>65</v>
      </c>
      <c r="F2" s="19" t="str">
        <f>'Consolidated underlying data'!F2</f>
        <v xml:space="preserve"> Inflation</v>
      </c>
      <c r="G2" s="20" t="s">
        <v>11</v>
      </c>
      <c r="H2" s="21" t="s">
        <v>6</v>
      </c>
      <c r="I2" s="21" t="s">
        <v>15</v>
      </c>
      <c r="J2" s="21" t="s">
        <v>24</v>
      </c>
      <c r="K2" s="88" t="s">
        <v>11</v>
      </c>
      <c r="L2" s="89" t="s">
        <v>77</v>
      </c>
      <c r="M2" s="89" t="s">
        <v>6</v>
      </c>
      <c r="N2" s="89" t="s">
        <v>14</v>
      </c>
      <c r="O2" s="89" t="s">
        <v>43</v>
      </c>
      <c r="P2" s="89" t="s">
        <v>78</v>
      </c>
      <c r="Q2" s="89" t="s">
        <v>79</v>
      </c>
      <c r="R2" s="90" t="s">
        <v>46</v>
      </c>
      <c r="S2" s="49" t="s">
        <v>80</v>
      </c>
      <c r="T2" s="49" t="s">
        <v>87</v>
      </c>
    </row>
    <row r="3" spans="1:33" x14ac:dyDescent="0.35">
      <c r="A3" s="22">
        <v>1883</v>
      </c>
      <c r="B3" s="22"/>
      <c r="C3" s="22"/>
      <c r="D3" s="43">
        <f>'Consolidated underlying data'!E3</f>
        <v>3.7999999999999999E-2</v>
      </c>
      <c r="E3" s="47">
        <f t="shared" ref="E3:E66" si="0">D3/4</f>
        <v>9.4999999999999998E-3</v>
      </c>
      <c r="F3" s="43">
        <f>'Consolidated underlying data'!F3</f>
        <v>-2.9000000000000001E-2</v>
      </c>
      <c r="G3" s="23">
        <f>'Consolidated underlying data'!B3</f>
        <v>0.28999999999999998</v>
      </c>
      <c r="H3" s="24">
        <f t="shared" ref="H3:H34" si="1">(1+G3)/(1+F3)-1</f>
        <v>0.32852729145211135</v>
      </c>
      <c r="I3" s="24">
        <f>1+H3</f>
        <v>1.3285272914521113</v>
      </c>
      <c r="J3" s="25">
        <f t="shared" ref="J3:J34" si="2">(G3-D3)+1</f>
        <v>1.252</v>
      </c>
      <c r="K3" s="23">
        <f>('Consolidated underlying data'!B3+'Consolidated underlying data'!J3*$M$1)</f>
        <v>0.28999999999999998</v>
      </c>
      <c r="L3" s="106">
        <f t="shared" ref="L3:L66" si="3">K3/4</f>
        <v>7.2499999999999995E-2</v>
      </c>
      <c r="M3" s="30">
        <f t="shared" ref="M3:M34" si="4">(1+K3)/(1+F3)-1</f>
        <v>0.32852729145211135</v>
      </c>
      <c r="N3" s="30">
        <f>M3+1</f>
        <v>1.3285272914521113</v>
      </c>
      <c r="O3" s="106">
        <f t="shared" ref="O3:O34" si="5">(K3-D3)+1</f>
        <v>1.252</v>
      </c>
      <c r="P3" s="106">
        <f t="shared" ref="P3:P34" si="6">(L3-E3)</f>
        <v>6.3E-2</v>
      </c>
      <c r="Q3" s="106">
        <f t="shared" ref="Q3:Q66" si="7">P3*4</f>
        <v>0.252</v>
      </c>
      <c r="R3" s="26"/>
      <c r="S3" s="28"/>
      <c r="AG3" s="63"/>
    </row>
    <row r="4" spans="1:33" x14ac:dyDescent="0.35">
      <c r="A4" s="22">
        <v>1884</v>
      </c>
      <c r="B4" s="22"/>
      <c r="C4" s="22"/>
      <c r="D4" s="43">
        <f>'Consolidated underlying data'!E4</f>
        <v>3.6999999999999998E-2</v>
      </c>
      <c r="E4" s="47">
        <f t="shared" si="0"/>
        <v>9.2499999999999995E-3</v>
      </c>
      <c r="F4" s="43">
        <f>'Consolidated underlying data'!F4</f>
        <v>-8.7999999999999995E-2</v>
      </c>
      <c r="G4" s="23">
        <f>'Consolidated underlying data'!B4</f>
        <v>4.3999999999999997E-2</v>
      </c>
      <c r="H4" s="24">
        <f t="shared" si="1"/>
        <v>0.14473684210526305</v>
      </c>
      <c r="I4" s="24">
        <f t="shared" ref="I4:I67" si="8">1+H4</f>
        <v>1.1447368421052631</v>
      </c>
      <c r="J4" s="25">
        <f t="shared" si="2"/>
        <v>1.0069999999999999</v>
      </c>
      <c r="K4" s="23">
        <f>('Consolidated underlying data'!B4+'Consolidated underlying data'!J4*$M$1)</f>
        <v>4.3999999999999997E-2</v>
      </c>
      <c r="L4" s="106">
        <f t="shared" si="3"/>
        <v>1.0999999999999999E-2</v>
      </c>
      <c r="M4" s="30">
        <f t="shared" si="4"/>
        <v>0.14473684210526305</v>
      </c>
      <c r="N4" s="30">
        <f t="shared" ref="N4:N67" si="9">M4+1</f>
        <v>1.1447368421052631</v>
      </c>
      <c r="O4" s="106">
        <f t="shared" si="5"/>
        <v>1.0069999999999999</v>
      </c>
      <c r="P4" s="106">
        <f t="shared" si="6"/>
        <v>1.7499999999999998E-3</v>
      </c>
      <c r="Q4" s="106">
        <f t="shared" si="7"/>
        <v>6.9999999999999993E-3</v>
      </c>
      <c r="R4" s="26"/>
      <c r="S4" s="28"/>
      <c r="AG4" s="63"/>
    </row>
    <row r="5" spans="1:33" x14ac:dyDescent="0.35">
      <c r="A5" s="22">
        <v>1885</v>
      </c>
      <c r="B5" s="22"/>
      <c r="C5" s="22"/>
      <c r="D5" s="43">
        <f>'Consolidated underlying data'!E5</f>
        <v>3.7999999999999999E-2</v>
      </c>
      <c r="E5" s="47">
        <f t="shared" si="0"/>
        <v>9.4999999999999998E-3</v>
      </c>
      <c r="F5" s="43">
        <f>'Consolidated underlying data'!F5</f>
        <v>9.8000000000000004E-2</v>
      </c>
      <c r="G5" s="23">
        <f>'Consolidated underlying data'!B5</f>
        <v>0.113</v>
      </c>
      <c r="H5" s="24">
        <f t="shared" si="1"/>
        <v>1.3661202185792254E-2</v>
      </c>
      <c r="I5" s="24">
        <f t="shared" si="8"/>
        <v>1.0136612021857923</v>
      </c>
      <c r="J5" s="25">
        <f t="shared" si="2"/>
        <v>1.075</v>
      </c>
      <c r="K5" s="23">
        <f>('Consolidated underlying data'!B5+'Consolidated underlying data'!J5*$M$1)</f>
        <v>0.113</v>
      </c>
      <c r="L5" s="106">
        <f t="shared" si="3"/>
        <v>2.8250000000000001E-2</v>
      </c>
      <c r="M5" s="30">
        <f t="shared" si="4"/>
        <v>1.3661202185792254E-2</v>
      </c>
      <c r="N5" s="30">
        <f t="shared" si="9"/>
        <v>1.0136612021857923</v>
      </c>
      <c r="O5" s="106">
        <f t="shared" si="5"/>
        <v>1.075</v>
      </c>
      <c r="P5" s="106">
        <f t="shared" si="6"/>
        <v>1.8750000000000003E-2</v>
      </c>
      <c r="Q5" s="106">
        <f t="shared" si="7"/>
        <v>7.5000000000000011E-2</v>
      </c>
      <c r="R5" s="26"/>
      <c r="S5" s="28"/>
      <c r="AG5" s="64"/>
    </row>
    <row r="6" spans="1:33" x14ac:dyDescent="0.35">
      <c r="A6" s="22">
        <v>1886</v>
      </c>
      <c r="B6" s="22"/>
      <c r="C6" s="22"/>
      <c r="D6" s="43">
        <f>'Consolidated underlying data'!E6</f>
        <v>3.7999999999999999E-2</v>
      </c>
      <c r="E6" s="47">
        <f t="shared" si="0"/>
        <v>9.4999999999999998E-3</v>
      </c>
      <c r="F6" s="43">
        <f>'Consolidated underlying data'!F6</f>
        <v>4.3999999999999997E-2</v>
      </c>
      <c r="G6" s="23">
        <f>'Consolidated underlying data'!B6</f>
        <v>2.9000000000000001E-2</v>
      </c>
      <c r="H6" s="24">
        <f t="shared" si="1"/>
        <v>-1.4367816091954144E-2</v>
      </c>
      <c r="I6" s="24">
        <f t="shared" si="8"/>
        <v>0.98563218390804586</v>
      </c>
      <c r="J6" s="25">
        <f t="shared" si="2"/>
        <v>0.99099999999999999</v>
      </c>
      <c r="K6" s="23">
        <f>('Consolidated underlying data'!B6+'Consolidated underlying data'!J6*$M$1)</f>
        <v>2.9000000000000001E-2</v>
      </c>
      <c r="L6" s="106">
        <f t="shared" si="3"/>
        <v>7.2500000000000004E-3</v>
      </c>
      <c r="M6" s="30">
        <f t="shared" si="4"/>
        <v>-1.4367816091954144E-2</v>
      </c>
      <c r="N6" s="30">
        <f t="shared" si="9"/>
        <v>0.98563218390804586</v>
      </c>
      <c r="O6" s="106">
        <f t="shared" si="5"/>
        <v>0.99099999999999999</v>
      </c>
      <c r="P6" s="106">
        <f t="shared" si="6"/>
        <v>-2.2499999999999994E-3</v>
      </c>
      <c r="Q6" s="106">
        <f t="shared" si="7"/>
        <v>-8.9999999999999976E-3</v>
      </c>
      <c r="R6" s="26"/>
      <c r="S6" s="28"/>
      <c r="AG6" s="64"/>
    </row>
    <row r="7" spans="1:33" x14ac:dyDescent="0.35">
      <c r="A7" s="22">
        <v>1887</v>
      </c>
      <c r="B7" s="22"/>
      <c r="C7" s="22"/>
      <c r="D7" s="43">
        <f>'Consolidated underlying data'!E7</f>
        <v>3.5999999999999997E-2</v>
      </c>
      <c r="E7" s="47">
        <f t="shared" si="0"/>
        <v>8.9999999999999993E-3</v>
      </c>
      <c r="F7" s="43">
        <f>'Consolidated underlying data'!F7</f>
        <v>-0.04</v>
      </c>
      <c r="G7" s="23">
        <f>'Consolidated underlying data'!B7</f>
        <v>0.28199999999999997</v>
      </c>
      <c r="H7" s="24">
        <f t="shared" si="1"/>
        <v>0.3354166666666667</v>
      </c>
      <c r="I7" s="24">
        <f t="shared" si="8"/>
        <v>1.3354166666666667</v>
      </c>
      <c r="J7" s="25">
        <f t="shared" si="2"/>
        <v>1.246</v>
      </c>
      <c r="K7" s="23">
        <f>('Consolidated underlying data'!B7+'Consolidated underlying data'!J7*$M$1)</f>
        <v>0.28199999999999997</v>
      </c>
      <c r="L7" s="106">
        <f t="shared" si="3"/>
        <v>7.0499999999999993E-2</v>
      </c>
      <c r="M7" s="30">
        <f t="shared" si="4"/>
        <v>0.3354166666666667</v>
      </c>
      <c r="N7" s="30">
        <f t="shared" si="9"/>
        <v>1.3354166666666667</v>
      </c>
      <c r="O7" s="106">
        <f t="shared" si="5"/>
        <v>1.246</v>
      </c>
      <c r="P7" s="106">
        <f t="shared" si="6"/>
        <v>6.1499999999999992E-2</v>
      </c>
      <c r="Q7" s="106">
        <f t="shared" si="7"/>
        <v>0.24599999999999997</v>
      </c>
      <c r="R7" s="26"/>
      <c r="S7" s="28"/>
      <c r="AG7" s="64"/>
    </row>
    <row r="8" spans="1:33" x14ac:dyDescent="0.35">
      <c r="A8" s="22">
        <v>1888</v>
      </c>
      <c r="B8" s="22"/>
      <c r="C8" s="22"/>
      <c r="D8" s="43">
        <f>'Consolidated underlying data'!E8</f>
        <v>3.4000000000000002E-2</v>
      </c>
      <c r="E8" s="47">
        <f t="shared" si="0"/>
        <v>8.5000000000000006E-3</v>
      </c>
      <c r="F8" s="43">
        <f>'Consolidated underlying data'!F8</f>
        <v>-2.9000000000000001E-2</v>
      </c>
      <c r="G8" s="23">
        <f>'Consolidated underlying data'!B8</f>
        <v>0.26200000000000001</v>
      </c>
      <c r="H8" s="24">
        <f t="shared" si="1"/>
        <v>0.29969104016477854</v>
      </c>
      <c r="I8" s="24">
        <f t="shared" si="8"/>
        <v>1.2996910401647785</v>
      </c>
      <c r="J8" s="25">
        <f t="shared" si="2"/>
        <v>1.228</v>
      </c>
      <c r="K8" s="23">
        <f>('Consolidated underlying data'!B8+'Consolidated underlying data'!J8*$M$1)</f>
        <v>0.26200000000000001</v>
      </c>
      <c r="L8" s="106">
        <f t="shared" si="3"/>
        <v>6.5500000000000003E-2</v>
      </c>
      <c r="M8" s="30">
        <f t="shared" si="4"/>
        <v>0.29969104016477854</v>
      </c>
      <c r="N8" s="30">
        <f t="shared" si="9"/>
        <v>1.2996910401647785</v>
      </c>
      <c r="O8" s="106">
        <f t="shared" si="5"/>
        <v>1.228</v>
      </c>
      <c r="P8" s="106">
        <f t="shared" si="6"/>
        <v>5.7000000000000002E-2</v>
      </c>
      <c r="Q8" s="106">
        <f t="shared" si="7"/>
        <v>0.22800000000000001</v>
      </c>
      <c r="R8" s="26"/>
      <c r="S8" s="28"/>
      <c r="AG8" s="64"/>
    </row>
    <row r="9" spans="1:33" x14ac:dyDescent="0.35">
      <c r="A9" s="22">
        <v>1889</v>
      </c>
      <c r="B9" s="22"/>
      <c r="C9" s="22"/>
      <c r="D9" s="43">
        <f>'Consolidated underlying data'!E9</f>
        <v>3.4000000000000002E-2</v>
      </c>
      <c r="E9" s="47">
        <f t="shared" si="0"/>
        <v>8.5000000000000006E-3</v>
      </c>
      <c r="F9" s="43">
        <f>'Consolidated underlying data'!F9</f>
        <v>0.01</v>
      </c>
      <c r="G9" s="23">
        <f>'Consolidated underlying data'!B9</f>
        <v>-1.0999999999999999E-2</v>
      </c>
      <c r="H9" s="24">
        <f t="shared" si="1"/>
        <v>-2.0792079207920811E-2</v>
      </c>
      <c r="I9" s="24">
        <f t="shared" si="8"/>
        <v>0.97920792079207919</v>
      </c>
      <c r="J9" s="25">
        <f t="shared" si="2"/>
        <v>0.95499999999999996</v>
      </c>
      <c r="K9" s="23">
        <f>('Consolidated underlying data'!B9+'Consolidated underlying data'!J9*$M$1)</f>
        <v>-1.0999999999999999E-2</v>
      </c>
      <c r="L9" s="106">
        <f t="shared" si="3"/>
        <v>-2.7499999999999998E-3</v>
      </c>
      <c r="M9" s="30">
        <f t="shared" si="4"/>
        <v>-2.0792079207920811E-2</v>
      </c>
      <c r="N9" s="30">
        <f t="shared" si="9"/>
        <v>0.97920792079207919</v>
      </c>
      <c r="O9" s="106">
        <f t="shared" si="5"/>
        <v>0.95499999999999996</v>
      </c>
      <c r="P9" s="106">
        <f t="shared" si="6"/>
        <v>-1.125E-2</v>
      </c>
      <c r="Q9" s="106">
        <f t="shared" si="7"/>
        <v>-4.4999999999999998E-2</v>
      </c>
      <c r="R9" s="26"/>
      <c r="S9" s="28"/>
      <c r="AG9" s="64"/>
    </row>
    <row r="10" spans="1:33" x14ac:dyDescent="0.35">
      <c r="A10" s="22">
        <v>1890</v>
      </c>
      <c r="B10" s="22"/>
      <c r="C10" s="22"/>
      <c r="D10" s="43">
        <f>'Consolidated underlying data'!E10</f>
        <v>3.5000000000000003E-2</v>
      </c>
      <c r="E10" s="47">
        <f t="shared" si="0"/>
        <v>8.7500000000000008E-3</v>
      </c>
      <c r="F10" s="43">
        <f>'Consolidated underlying data'!F10</f>
        <v>8.0000000000000002E-3</v>
      </c>
      <c r="G10" s="23">
        <f>'Consolidated underlying data'!B10</f>
        <v>1.4E-2</v>
      </c>
      <c r="H10" s="24">
        <f t="shared" si="1"/>
        <v>5.9523809523809312E-3</v>
      </c>
      <c r="I10" s="24">
        <f t="shared" si="8"/>
        <v>1.0059523809523809</v>
      </c>
      <c r="J10" s="25">
        <f t="shared" si="2"/>
        <v>0.97899999999999998</v>
      </c>
      <c r="K10" s="23">
        <f>('Consolidated underlying data'!B10+'Consolidated underlying data'!J10*$M$1)</f>
        <v>1.4E-2</v>
      </c>
      <c r="L10" s="106">
        <f t="shared" si="3"/>
        <v>3.5000000000000001E-3</v>
      </c>
      <c r="M10" s="30">
        <f t="shared" si="4"/>
        <v>5.9523809523809312E-3</v>
      </c>
      <c r="N10" s="30">
        <f t="shared" si="9"/>
        <v>1.0059523809523809</v>
      </c>
      <c r="O10" s="106">
        <f t="shared" si="5"/>
        <v>0.97899999999999998</v>
      </c>
      <c r="P10" s="106">
        <f t="shared" si="6"/>
        <v>-5.2500000000000012E-3</v>
      </c>
      <c r="Q10" s="106">
        <f t="shared" si="7"/>
        <v>-2.1000000000000005E-2</v>
      </c>
      <c r="R10" s="26"/>
      <c r="S10" s="28"/>
      <c r="AG10" s="64"/>
    </row>
    <row r="11" spans="1:33" x14ac:dyDescent="0.35">
      <c r="A11" s="22">
        <v>1891</v>
      </c>
      <c r="B11" s="22"/>
      <c r="C11" s="22"/>
      <c r="D11" s="43">
        <f>'Consolidated underlying data'!E11</f>
        <v>3.7999999999999999E-2</v>
      </c>
      <c r="E11" s="47">
        <f t="shared" si="0"/>
        <v>9.4999999999999998E-3</v>
      </c>
      <c r="F11" s="43">
        <f>'Consolidated underlying data'!F11</f>
        <v>1E-3</v>
      </c>
      <c r="G11" s="23">
        <f>'Consolidated underlying data'!B11</f>
        <v>-0.104</v>
      </c>
      <c r="H11" s="24">
        <f t="shared" si="1"/>
        <v>-0.10489510489510478</v>
      </c>
      <c r="I11" s="24">
        <f t="shared" si="8"/>
        <v>0.89510489510489522</v>
      </c>
      <c r="J11" s="25">
        <f t="shared" si="2"/>
        <v>0.85799999999999998</v>
      </c>
      <c r="K11" s="23">
        <f>('Consolidated underlying data'!B11+'Consolidated underlying data'!J11*$M$1)</f>
        <v>-0.104</v>
      </c>
      <c r="L11" s="106">
        <f t="shared" si="3"/>
        <v>-2.5999999999999999E-2</v>
      </c>
      <c r="M11" s="30">
        <f t="shared" si="4"/>
        <v>-0.10489510489510478</v>
      </c>
      <c r="N11" s="30">
        <f t="shared" si="9"/>
        <v>0.89510489510489522</v>
      </c>
      <c r="O11" s="106">
        <f t="shared" si="5"/>
        <v>0.85799999999999998</v>
      </c>
      <c r="P11" s="106">
        <f t="shared" si="6"/>
        <v>-3.5499999999999997E-2</v>
      </c>
      <c r="Q11" s="106">
        <f t="shared" si="7"/>
        <v>-0.14199999999999999</v>
      </c>
      <c r="R11" s="26"/>
      <c r="S11" s="28"/>
      <c r="AG11" s="64"/>
    </row>
    <row r="12" spans="1:33" x14ac:dyDescent="0.35">
      <c r="A12" s="22">
        <v>1892</v>
      </c>
      <c r="B12" s="22"/>
      <c r="C12" s="22"/>
      <c r="D12" s="43">
        <f>'Consolidated underlying data'!E12</f>
        <v>3.7999999999999999E-2</v>
      </c>
      <c r="E12" s="47">
        <f t="shared" si="0"/>
        <v>9.4999999999999998E-3</v>
      </c>
      <c r="F12" s="43">
        <f>'Consolidated underlying data'!F12</f>
        <v>-0.03</v>
      </c>
      <c r="G12" s="23">
        <f>'Consolidated underlying data'!B12</f>
        <v>6.3E-2</v>
      </c>
      <c r="H12" s="24">
        <f t="shared" si="1"/>
        <v>9.5876288659793696E-2</v>
      </c>
      <c r="I12" s="24">
        <f t="shared" si="8"/>
        <v>1.0958762886597937</v>
      </c>
      <c r="J12" s="25">
        <f t="shared" si="2"/>
        <v>1.0249999999999999</v>
      </c>
      <c r="K12" s="23">
        <f>('Consolidated underlying data'!B12+'Consolidated underlying data'!J12*$M$1)</f>
        <v>6.3E-2</v>
      </c>
      <c r="L12" s="106">
        <f t="shared" si="3"/>
        <v>1.575E-2</v>
      </c>
      <c r="M12" s="30">
        <f t="shared" si="4"/>
        <v>9.5876288659793696E-2</v>
      </c>
      <c r="N12" s="30">
        <f t="shared" si="9"/>
        <v>1.0958762886597937</v>
      </c>
      <c r="O12" s="106">
        <f t="shared" si="5"/>
        <v>1.0249999999999999</v>
      </c>
      <c r="P12" s="106">
        <f t="shared" si="6"/>
        <v>6.2500000000000003E-3</v>
      </c>
      <c r="Q12" s="106">
        <f t="shared" si="7"/>
        <v>2.5000000000000001E-2</v>
      </c>
      <c r="R12" s="26"/>
      <c r="S12" s="28"/>
      <c r="AG12" s="64"/>
    </row>
    <row r="13" spans="1:33" x14ac:dyDescent="0.35">
      <c r="A13" s="22">
        <v>1893</v>
      </c>
      <c r="B13" s="22"/>
      <c r="C13" s="22"/>
      <c r="D13" s="43">
        <f>'Consolidated underlying data'!E13</f>
        <v>3.7999999999999999E-2</v>
      </c>
      <c r="E13" s="47">
        <f t="shared" si="0"/>
        <v>9.4999999999999998E-3</v>
      </c>
      <c r="F13" s="43">
        <f>'Consolidated underlying data'!F13</f>
        <v>-6.3E-2</v>
      </c>
      <c r="G13" s="23">
        <f>'Consolidated underlying data'!B13</f>
        <v>-4.9000000000000002E-2</v>
      </c>
      <c r="H13" s="24">
        <f t="shared" si="1"/>
        <v>1.4941302027748016E-2</v>
      </c>
      <c r="I13" s="24">
        <f t="shared" si="8"/>
        <v>1.014941302027748</v>
      </c>
      <c r="J13" s="25">
        <f t="shared" si="2"/>
        <v>0.91300000000000003</v>
      </c>
      <c r="K13" s="23">
        <f>('Consolidated underlying data'!B13+'Consolidated underlying data'!J13*$M$1)</f>
        <v>-4.9000000000000002E-2</v>
      </c>
      <c r="L13" s="106">
        <f t="shared" si="3"/>
        <v>-1.225E-2</v>
      </c>
      <c r="M13" s="30">
        <f t="shared" si="4"/>
        <v>1.4941302027748016E-2</v>
      </c>
      <c r="N13" s="30">
        <f t="shared" si="9"/>
        <v>1.014941302027748</v>
      </c>
      <c r="O13" s="106">
        <f t="shared" si="5"/>
        <v>0.91300000000000003</v>
      </c>
      <c r="P13" s="106">
        <f t="shared" si="6"/>
        <v>-2.1749999999999999E-2</v>
      </c>
      <c r="Q13" s="106">
        <f t="shared" si="7"/>
        <v>-8.6999999999999994E-2</v>
      </c>
      <c r="R13" s="26"/>
      <c r="S13" s="28"/>
      <c r="AG13" s="64"/>
    </row>
    <row r="14" spans="1:33" x14ac:dyDescent="0.35">
      <c r="A14" s="22">
        <v>1894</v>
      </c>
      <c r="B14" s="22"/>
      <c r="C14" s="22"/>
      <c r="D14" s="43">
        <f>'Consolidated underlying data'!E14</f>
        <v>3.5000000000000003E-2</v>
      </c>
      <c r="E14" s="47">
        <f t="shared" si="0"/>
        <v>8.7500000000000008E-3</v>
      </c>
      <c r="F14" s="43">
        <f>'Consolidated underlying data'!F14</f>
        <v>-5.3999999999999999E-2</v>
      </c>
      <c r="G14" s="23">
        <f>'Consolidated underlying data'!B14</f>
        <v>0.106</v>
      </c>
      <c r="H14" s="24">
        <f t="shared" si="1"/>
        <v>0.16913319238900648</v>
      </c>
      <c r="I14" s="24">
        <f t="shared" si="8"/>
        <v>1.1691331923890065</v>
      </c>
      <c r="J14" s="25">
        <f t="shared" si="2"/>
        <v>1.071</v>
      </c>
      <c r="K14" s="23">
        <f>('Consolidated underlying data'!B14+'Consolidated underlying data'!J14*$M$1)</f>
        <v>0.106</v>
      </c>
      <c r="L14" s="106">
        <f t="shared" si="3"/>
        <v>2.6499999999999999E-2</v>
      </c>
      <c r="M14" s="30">
        <f t="shared" si="4"/>
        <v>0.16913319238900648</v>
      </c>
      <c r="N14" s="30">
        <f t="shared" si="9"/>
        <v>1.1691331923890065</v>
      </c>
      <c r="O14" s="106">
        <f t="shared" si="5"/>
        <v>1.071</v>
      </c>
      <c r="P14" s="106">
        <f t="shared" si="6"/>
        <v>1.7749999999999998E-2</v>
      </c>
      <c r="Q14" s="106">
        <f t="shared" si="7"/>
        <v>7.0999999999999994E-2</v>
      </c>
      <c r="R14" s="26"/>
      <c r="S14" s="28"/>
      <c r="AG14" s="64"/>
    </row>
    <row r="15" spans="1:33" x14ac:dyDescent="0.35">
      <c r="A15" s="22">
        <v>1895</v>
      </c>
      <c r="B15" s="22"/>
      <c r="C15" s="22"/>
      <c r="D15" s="43">
        <f>'Consolidated underlying data'!E15</f>
        <v>3.3000000000000002E-2</v>
      </c>
      <c r="E15" s="47">
        <f t="shared" si="0"/>
        <v>8.2500000000000004E-3</v>
      </c>
      <c r="F15" s="43">
        <f>'Consolidated underlying data'!F15</f>
        <v>8.0000000000000002E-3</v>
      </c>
      <c r="G15" s="23">
        <f>'Consolidated underlying data'!B15</f>
        <v>0.20100000000000001</v>
      </c>
      <c r="H15" s="24">
        <f t="shared" si="1"/>
        <v>0.19146825396825395</v>
      </c>
      <c r="I15" s="24">
        <f t="shared" si="8"/>
        <v>1.191468253968254</v>
      </c>
      <c r="J15" s="25">
        <f t="shared" si="2"/>
        <v>1.1679999999999999</v>
      </c>
      <c r="K15" s="23">
        <f>('Consolidated underlying data'!B15+'Consolidated underlying data'!J15*$M$1)</f>
        <v>0.20100000000000001</v>
      </c>
      <c r="L15" s="106">
        <f t="shared" si="3"/>
        <v>5.0250000000000003E-2</v>
      </c>
      <c r="M15" s="30">
        <f t="shared" si="4"/>
        <v>0.19146825396825395</v>
      </c>
      <c r="N15" s="30">
        <f t="shared" si="9"/>
        <v>1.191468253968254</v>
      </c>
      <c r="O15" s="106">
        <f t="shared" si="5"/>
        <v>1.1679999999999999</v>
      </c>
      <c r="P15" s="106">
        <f t="shared" si="6"/>
        <v>4.2000000000000003E-2</v>
      </c>
      <c r="Q15" s="106">
        <f t="shared" si="7"/>
        <v>0.16800000000000001</v>
      </c>
      <c r="R15" s="26"/>
      <c r="S15" s="28"/>
      <c r="AG15" s="64"/>
    </row>
    <row r="16" spans="1:33" x14ac:dyDescent="0.35">
      <c r="A16" s="22">
        <v>1896</v>
      </c>
      <c r="B16" s="22"/>
      <c r="C16" s="22"/>
      <c r="D16" s="43">
        <f>'Consolidated underlying data'!E16</f>
        <v>3.2000000000000001E-2</v>
      </c>
      <c r="E16" s="47">
        <f t="shared" si="0"/>
        <v>8.0000000000000002E-3</v>
      </c>
      <c r="F16" s="43">
        <f>'Consolidated underlying data'!F16</f>
        <v>1.2E-2</v>
      </c>
      <c r="G16" s="23">
        <f>'Consolidated underlying data'!B16</f>
        <v>1.7000000000000001E-2</v>
      </c>
      <c r="H16" s="24">
        <f t="shared" si="1"/>
        <v>4.9407114624504533E-3</v>
      </c>
      <c r="I16" s="24">
        <f t="shared" si="8"/>
        <v>1.0049407114624505</v>
      </c>
      <c r="J16" s="25">
        <f t="shared" si="2"/>
        <v>0.98499999999999999</v>
      </c>
      <c r="K16" s="23">
        <f>('Consolidated underlying data'!B16+'Consolidated underlying data'!J16*$M$1)</f>
        <v>1.7000000000000001E-2</v>
      </c>
      <c r="L16" s="106">
        <f t="shared" si="3"/>
        <v>4.2500000000000003E-3</v>
      </c>
      <c r="M16" s="30">
        <f t="shared" si="4"/>
        <v>4.9407114624504533E-3</v>
      </c>
      <c r="N16" s="30">
        <f t="shared" si="9"/>
        <v>1.0049407114624505</v>
      </c>
      <c r="O16" s="106">
        <f t="shared" si="5"/>
        <v>0.98499999999999999</v>
      </c>
      <c r="P16" s="106">
        <f t="shared" si="6"/>
        <v>-3.7499999999999999E-3</v>
      </c>
      <c r="Q16" s="106">
        <f t="shared" si="7"/>
        <v>-1.4999999999999999E-2</v>
      </c>
      <c r="R16" s="26"/>
      <c r="S16" s="28"/>
      <c r="AG16" s="64"/>
    </row>
    <row r="17" spans="1:33" x14ac:dyDescent="0.35">
      <c r="A17" s="22">
        <v>1897</v>
      </c>
      <c r="B17" s="22"/>
      <c r="C17" s="22"/>
      <c r="D17" s="43">
        <f>'Consolidated underlying data'!E17</f>
        <v>0.03</v>
      </c>
      <c r="E17" s="47">
        <f t="shared" si="0"/>
        <v>7.4999999999999997E-3</v>
      </c>
      <c r="F17" s="43">
        <f>'Consolidated underlying data'!F17</f>
        <v>4.2000000000000003E-2</v>
      </c>
      <c r="G17" s="23">
        <f>'Consolidated underlying data'!B17</f>
        <v>8.5000000000000006E-2</v>
      </c>
      <c r="H17" s="24">
        <f t="shared" si="1"/>
        <v>4.1266794625719694E-2</v>
      </c>
      <c r="I17" s="24">
        <f t="shared" si="8"/>
        <v>1.0412667946257197</v>
      </c>
      <c r="J17" s="25">
        <f t="shared" si="2"/>
        <v>1.0549999999999999</v>
      </c>
      <c r="K17" s="23">
        <f>('Consolidated underlying data'!B17+'Consolidated underlying data'!J17*$M$1)</f>
        <v>8.5000000000000006E-2</v>
      </c>
      <c r="L17" s="106">
        <f t="shared" si="3"/>
        <v>2.1250000000000002E-2</v>
      </c>
      <c r="M17" s="30">
        <f t="shared" si="4"/>
        <v>4.1266794625719694E-2</v>
      </c>
      <c r="N17" s="30">
        <f t="shared" si="9"/>
        <v>1.0412667946257197</v>
      </c>
      <c r="O17" s="106">
        <f t="shared" si="5"/>
        <v>1.0549999999999999</v>
      </c>
      <c r="P17" s="106">
        <f t="shared" si="6"/>
        <v>1.3750000000000002E-2</v>
      </c>
      <c r="Q17" s="106">
        <f t="shared" si="7"/>
        <v>5.5000000000000007E-2</v>
      </c>
      <c r="R17" s="26"/>
      <c r="S17" s="28"/>
      <c r="AG17" s="64"/>
    </row>
    <row r="18" spans="1:33" x14ac:dyDescent="0.35">
      <c r="A18" s="22">
        <v>1898</v>
      </c>
      <c r="B18" s="22"/>
      <c r="C18" s="22"/>
      <c r="D18" s="43">
        <f>'Consolidated underlying data'!E18</f>
        <v>3.3000000000000002E-2</v>
      </c>
      <c r="E18" s="47">
        <f t="shared" si="0"/>
        <v>8.2500000000000004E-3</v>
      </c>
      <c r="F18" s="43">
        <f>'Consolidated underlying data'!F18</f>
        <v>-4.8000000000000001E-2</v>
      </c>
      <c r="G18" s="23">
        <f>'Consolidated underlying data'!B18</f>
        <v>0.155</v>
      </c>
      <c r="H18" s="24">
        <f t="shared" si="1"/>
        <v>0.21323529411764719</v>
      </c>
      <c r="I18" s="24">
        <f t="shared" si="8"/>
        <v>1.2132352941176472</v>
      </c>
      <c r="J18" s="25">
        <f t="shared" si="2"/>
        <v>1.1219999999999999</v>
      </c>
      <c r="K18" s="23">
        <f>('Consolidated underlying data'!B18+'Consolidated underlying data'!J18*$M$1)</f>
        <v>0.155</v>
      </c>
      <c r="L18" s="106">
        <f t="shared" si="3"/>
        <v>3.875E-2</v>
      </c>
      <c r="M18" s="30">
        <f t="shared" si="4"/>
        <v>0.21323529411764719</v>
      </c>
      <c r="N18" s="30">
        <f t="shared" si="9"/>
        <v>1.2132352941176472</v>
      </c>
      <c r="O18" s="106">
        <f t="shared" si="5"/>
        <v>1.1219999999999999</v>
      </c>
      <c r="P18" s="106">
        <f t="shared" si="6"/>
        <v>3.0499999999999999E-2</v>
      </c>
      <c r="Q18" s="106">
        <f t="shared" si="7"/>
        <v>0.122</v>
      </c>
      <c r="R18" s="26"/>
      <c r="S18" s="28"/>
      <c r="AG18" s="64"/>
    </row>
    <row r="19" spans="1:33" x14ac:dyDescent="0.35">
      <c r="A19" s="22">
        <v>1899</v>
      </c>
      <c r="B19" s="22"/>
      <c r="C19" s="22"/>
      <c r="D19" s="43">
        <f>'Consolidated underlying data'!E19</f>
        <v>3.5000000000000003E-2</v>
      </c>
      <c r="E19" s="47">
        <f t="shared" si="0"/>
        <v>8.7500000000000008E-3</v>
      </c>
      <c r="F19" s="43">
        <f>'Consolidated underlying data'!F19</f>
        <v>3.0000000000000001E-3</v>
      </c>
      <c r="G19" s="23">
        <f>'Consolidated underlying data'!B19</f>
        <v>0.121</v>
      </c>
      <c r="H19" s="24">
        <f t="shared" si="1"/>
        <v>0.11764705882352944</v>
      </c>
      <c r="I19" s="24">
        <f t="shared" si="8"/>
        <v>1.1176470588235294</v>
      </c>
      <c r="J19" s="25">
        <f t="shared" si="2"/>
        <v>1.0860000000000001</v>
      </c>
      <c r="K19" s="23">
        <f>('Consolidated underlying data'!B19+'Consolidated underlying data'!J19*$M$1)</f>
        <v>0.121</v>
      </c>
      <c r="L19" s="106">
        <f t="shared" si="3"/>
        <v>3.0249999999999999E-2</v>
      </c>
      <c r="M19" s="30">
        <f t="shared" si="4"/>
        <v>0.11764705882352944</v>
      </c>
      <c r="N19" s="30">
        <f t="shared" si="9"/>
        <v>1.1176470588235294</v>
      </c>
      <c r="O19" s="106">
        <f t="shared" si="5"/>
        <v>1.0860000000000001</v>
      </c>
      <c r="P19" s="106">
        <f t="shared" si="6"/>
        <v>2.1499999999999998E-2</v>
      </c>
      <c r="Q19" s="106">
        <f t="shared" si="7"/>
        <v>8.5999999999999993E-2</v>
      </c>
      <c r="R19" s="26"/>
      <c r="S19" s="28"/>
      <c r="AG19" s="64"/>
    </row>
    <row r="20" spans="1:33" x14ac:dyDescent="0.35">
      <c r="A20" s="22">
        <v>1900</v>
      </c>
      <c r="B20" s="22"/>
      <c r="C20" s="22"/>
      <c r="D20" s="43">
        <f>'Consolidated underlying data'!E20</f>
        <v>3.3000000000000002E-2</v>
      </c>
      <c r="E20" s="47">
        <f t="shared" si="0"/>
        <v>8.2500000000000004E-3</v>
      </c>
      <c r="F20" s="43">
        <f>'Consolidated underlying data'!F20</f>
        <v>-4.0000000000000001E-3</v>
      </c>
      <c r="G20" s="23">
        <f>'Consolidated underlying data'!B20</f>
        <v>0.122</v>
      </c>
      <c r="H20" s="24">
        <f t="shared" si="1"/>
        <v>0.12650602409638534</v>
      </c>
      <c r="I20" s="24">
        <f t="shared" si="8"/>
        <v>1.1265060240963853</v>
      </c>
      <c r="J20" s="25">
        <f t="shared" si="2"/>
        <v>1.089</v>
      </c>
      <c r="K20" s="23">
        <f>('Consolidated underlying data'!B20+'Consolidated underlying data'!J20*$M$1)</f>
        <v>0.122</v>
      </c>
      <c r="L20" s="106">
        <f t="shared" si="3"/>
        <v>3.0499999999999999E-2</v>
      </c>
      <c r="M20" s="30">
        <f t="shared" si="4"/>
        <v>0.12650602409638534</v>
      </c>
      <c r="N20" s="30">
        <f t="shared" si="9"/>
        <v>1.1265060240963853</v>
      </c>
      <c r="O20" s="106">
        <f t="shared" si="5"/>
        <v>1.089</v>
      </c>
      <c r="P20" s="106">
        <f t="shared" si="6"/>
        <v>2.2249999999999999E-2</v>
      </c>
      <c r="Q20" s="106">
        <f t="shared" si="7"/>
        <v>8.8999999999999996E-2</v>
      </c>
      <c r="R20" s="26"/>
      <c r="S20" s="28"/>
      <c r="AG20" s="64"/>
    </row>
    <row r="21" spans="1:33" x14ac:dyDescent="0.35">
      <c r="A21" s="22">
        <v>1901</v>
      </c>
      <c r="B21" s="22"/>
      <c r="C21" s="22"/>
      <c r="D21" s="43">
        <f>'Consolidated underlying data'!E21</f>
        <v>3.3000000000000002E-2</v>
      </c>
      <c r="E21" s="47">
        <f t="shared" si="0"/>
        <v>8.2500000000000004E-3</v>
      </c>
      <c r="F21" s="43">
        <f>'Consolidated underlying data'!F21</f>
        <v>5.0999999999999997E-2</v>
      </c>
      <c r="G21" s="23">
        <f>'Consolidated underlying data'!B21</f>
        <v>-3.2000000000000001E-2</v>
      </c>
      <c r="H21" s="24">
        <f t="shared" si="1"/>
        <v>-7.8972407231208352E-2</v>
      </c>
      <c r="I21" s="24">
        <f t="shared" si="8"/>
        <v>0.92102759276879165</v>
      </c>
      <c r="J21" s="25">
        <f t="shared" si="2"/>
        <v>0.93500000000000005</v>
      </c>
      <c r="K21" s="23">
        <f>('Consolidated underlying data'!B21+'Consolidated underlying data'!J21*$M$1)</f>
        <v>-3.2000000000000001E-2</v>
      </c>
      <c r="L21" s="106">
        <f t="shared" si="3"/>
        <v>-8.0000000000000002E-3</v>
      </c>
      <c r="M21" s="30">
        <f t="shared" si="4"/>
        <v>-7.8972407231208352E-2</v>
      </c>
      <c r="N21" s="30">
        <f t="shared" si="9"/>
        <v>0.92102759276879165</v>
      </c>
      <c r="O21" s="106">
        <f t="shared" si="5"/>
        <v>0.93500000000000005</v>
      </c>
      <c r="P21" s="106">
        <f t="shared" si="6"/>
        <v>-1.6250000000000001E-2</v>
      </c>
      <c r="Q21" s="106">
        <f t="shared" si="7"/>
        <v>-6.5000000000000002E-2</v>
      </c>
      <c r="R21" s="26"/>
      <c r="S21" s="28"/>
      <c r="AG21" s="64"/>
    </row>
    <row r="22" spans="1:33" x14ac:dyDescent="0.35">
      <c r="A22" s="22">
        <v>1902</v>
      </c>
      <c r="B22" s="22"/>
      <c r="C22" s="22"/>
      <c r="D22" s="43">
        <f>'Consolidated underlying data'!E22</f>
        <v>3.5000000000000003E-2</v>
      </c>
      <c r="E22" s="47">
        <f t="shared" si="0"/>
        <v>8.7500000000000008E-3</v>
      </c>
      <c r="F22" s="43">
        <f>'Consolidated underlying data'!F22</f>
        <v>6.4000000000000001E-2</v>
      </c>
      <c r="G22" s="23">
        <f>'Consolidated underlying data'!B22</f>
        <v>0.156</v>
      </c>
      <c r="H22" s="24">
        <f t="shared" si="1"/>
        <v>8.6466165413533691E-2</v>
      </c>
      <c r="I22" s="24">
        <f t="shared" si="8"/>
        <v>1.0864661654135337</v>
      </c>
      <c r="J22" s="25">
        <f t="shared" si="2"/>
        <v>1.121</v>
      </c>
      <c r="K22" s="23">
        <f>('Consolidated underlying data'!B22+'Consolidated underlying data'!J22*$M$1)</f>
        <v>0.156</v>
      </c>
      <c r="L22" s="106">
        <f t="shared" si="3"/>
        <v>3.9E-2</v>
      </c>
      <c r="M22" s="30">
        <f t="shared" si="4"/>
        <v>8.6466165413533691E-2</v>
      </c>
      <c r="N22" s="30">
        <f t="shared" si="9"/>
        <v>1.0864661654135337</v>
      </c>
      <c r="O22" s="106">
        <f t="shared" si="5"/>
        <v>1.121</v>
      </c>
      <c r="P22" s="106">
        <f t="shared" si="6"/>
        <v>3.0249999999999999E-2</v>
      </c>
      <c r="Q22" s="106">
        <f t="shared" si="7"/>
        <v>0.121</v>
      </c>
      <c r="R22" s="26"/>
      <c r="S22" s="28"/>
      <c r="AG22" s="64"/>
    </row>
    <row r="23" spans="1:33" x14ac:dyDescent="0.35">
      <c r="A23" s="22">
        <v>1903</v>
      </c>
      <c r="B23" s="22"/>
      <c r="C23" s="22"/>
      <c r="D23" s="43">
        <f>'Consolidated underlying data'!E23</f>
        <v>3.5999999999999997E-2</v>
      </c>
      <c r="E23" s="47">
        <f t="shared" si="0"/>
        <v>8.9999999999999993E-3</v>
      </c>
      <c r="F23" s="43">
        <f>'Consolidated underlying data'!F23</f>
        <v>-0.02</v>
      </c>
      <c r="G23" s="23">
        <f>'Consolidated underlying data'!B23</f>
        <v>0.219</v>
      </c>
      <c r="H23" s="24">
        <f t="shared" si="1"/>
        <v>0.24387755102040831</v>
      </c>
      <c r="I23" s="24">
        <f t="shared" si="8"/>
        <v>1.2438775510204083</v>
      </c>
      <c r="J23" s="25">
        <f t="shared" si="2"/>
        <v>1.1830000000000001</v>
      </c>
      <c r="K23" s="23">
        <f>('Consolidated underlying data'!B23+'Consolidated underlying data'!J23*$M$1)</f>
        <v>0.219</v>
      </c>
      <c r="L23" s="106">
        <f t="shared" si="3"/>
        <v>5.475E-2</v>
      </c>
      <c r="M23" s="30">
        <f t="shared" si="4"/>
        <v>0.24387755102040831</v>
      </c>
      <c r="N23" s="30">
        <f t="shared" si="9"/>
        <v>1.2438775510204083</v>
      </c>
      <c r="O23" s="106">
        <f t="shared" si="5"/>
        <v>1.1830000000000001</v>
      </c>
      <c r="P23" s="106">
        <f t="shared" si="6"/>
        <v>4.5749999999999999E-2</v>
      </c>
      <c r="Q23" s="106">
        <f t="shared" si="7"/>
        <v>0.183</v>
      </c>
      <c r="R23" s="26"/>
      <c r="S23" s="28"/>
      <c r="AG23" s="64"/>
    </row>
    <row r="24" spans="1:33" x14ac:dyDescent="0.35">
      <c r="A24" s="22">
        <v>1904</v>
      </c>
      <c r="B24" s="22"/>
      <c r="C24" s="22"/>
      <c r="D24" s="43">
        <f>'Consolidated underlying data'!E24</f>
        <v>3.6999999999999998E-2</v>
      </c>
      <c r="E24" s="47">
        <f t="shared" si="0"/>
        <v>9.2499999999999995E-3</v>
      </c>
      <c r="F24" s="43">
        <f>'Consolidated underlying data'!F24</f>
        <v>-6.0999999999999999E-2</v>
      </c>
      <c r="G24" s="23">
        <f>'Consolidated underlying data'!B24</f>
        <v>7.4999999999999997E-2</v>
      </c>
      <c r="H24" s="24">
        <f t="shared" si="1"/>
        <v>0.1448349307774226</v>
      </c>
      <c r="I24" s="24">
        <f t="shared" si="8"/>
        <v>1.1448349307774226</v>
      </c>
      <c r="J24" s="25">
        <f t="shared" si="2"/>
        <v>1.038</v>
      </c>
      <c r="K24" s="23">
        <f>('Consolidated underlying data'!B24+'Consolidated underlying data'!J24*$M$1)</f>
        <v>7.4999999999999997E-2</v>
      </c>
      <c r="L24" s="106">
        <f t="shared" si="3"/>
        <v>1.8749999999999999E-2</v>
      </c>
      <c r="M24" s="30">
        <f t="shared" si="4"/>
        <v>0.1448349307774226</v>
      </c>
      <c r="N24" s="30">
        <f t="shared" si="9"/>
        <v>1.1448349307774226</v>
      </c>
      <c r="O24" s="106">
        <f t="shared" si="5"/>
        <v>1.038</v>
      </c>
      <c r="P24" s="106">
        <f t="shared" si="6"/>
        <v>9.4999999999999998E-3</v>
      </c>
      <c r="Q24" s="106">
        <f t="shared" si="7"/>
        <v>3.7999999999999999E-2</v>
      </c>
      <c r="R24" s="26"/>
      <c r="S24" s="28"/>
      <c r="AG24" s="64"/>
    </row>
    <row r="25" spans="1:33" x14ac:dyDescent="0.35">
      <c r="A25" s="22">
        <v>1905</v>
      </c>
      <c r="B25" s="22"/>
      <c r="C25" s="22"/>
      <c r="D25" s="43">
        <f>'Consolidated underlying data'!E25</f>
        <v>3.5000000000000003E-2</v>
      </c>
      <c r="E25" s="47">
        <f t="shared" si="0"/>
        <v>8.7500000000000008E-3</v>
      </c>
      <c r="F25" s="43">
        <f>'Consolidated underlying data'!F25</f>
        <v>4.2999999999999997E-2</v>
      </c>
      <c r="G25" s="23">
        <f>'Consolidated underlying data'!B25</f>
        <v>0.14599999999999999</v>
      </c>
      <c r="H25" s="24">
        <f t="shared" si="1"/>
        <v>9.8753595397890637E-2</v>
      </c>
      <c r="I25" s="24">
        <f t="shared" si="8"/>
        <v>1.0987535953978906</v>
      </c>
      <c r="J25" s="25">
        <f t="shared" si="2"/>
        <v>1.111</v>
      </c>
      <c r="K25" s="23">
        <f>('Consolidated underlying data'!B25+'Consolidated underlying data'!J25*$M$1)</f>
        <v>0.14599999999999999</v>
      </c>
      <c r="L25" s="106">
        <f t="shared" si="3"/>
        <v>3.6499999999999998E-2</v>
      </c>
      <c r="M25" s="30">
        <f t="shared" si="4"/>
        <v>9.8753595397890637E-2</v>
      </c>
      <c r="N25" s="30">
        <f t="shared" si="9"/>
        <v>1.0987535953978906</v>
      </c>
      <c r="O25" s="106">
        <f t="shared" si="5"/>
        <v>1.111</v>
      </c>
      <c r="P25" s="106">
        <f t="shared" si="6"/>
        <v>2.7749999999999997E-2</v>
      </c>
      <c r="Q25" s="106">
        <f t="shared" si="7"/>
        <v>0.11099999999999999</v>
      </c>
      <c r="R25" s="26"/>
      <c r="S25" s="28"/>
      <c r="AG25" s="64"/>
    </row>
    <row r="26" spans="1:33" x14ac:dyDescent="0.35">
      <c r="A26" s="22">
        <v>1906</v>
      </c>
      <c r="B26" s="22"/>
      <c r="C26" s="22"/>
      <c r="D26" s="43">
        <f>'Consolidated underlying data'!E26</f>
        <v>3.5000000000000003E-2</v>
      </c>
      <c r="E26" s="47">
        <f t="shared" si="0"/>
        <v>8.7500000000000008E-3</v>
      </c>
      <c r="F26" s="43">
        <f>'Consolidated underlying data'!F26</f>
        <v>0</v>
      </c>
      <c r="G26" s="23">
        <f>'Consolidated underlying data'!B26</f>
        <v>0.10199999999999999</v>
      </c>
      <c r="H26" s="24">
        <f t="shared" si="1"/>
        <v>0.10200000000000009</v>
      </c>
      <c r="I26" s="24">
        <f t="shared" si="8"/>
        <v>1.1020000000000001</v>
      </c>
      <c r="J26" s="25">
        <f t="shared" si="2"/>
        <v>1.0669999999999999</v>
      </c>
      <c r="K26" s="23">
        <f>('Consolidated underlying data'!B26+'Consolidated underlying data'!J26*$M$1)</f>
        <v>0.10199999999999999</v>
      </c>
      <c r="L26" s="106">
        <f t="shared" si="3"/>
        <v>2.5499999999999998E-2</v>
      </c>
      <c r="M26" s="30">
        <f t="shared" si="4"/>
        <v>0.10200000000000009</v>
      </c>
      <c r="N26" s="30">
        <f t="shared" si="9"/>
        <v>1.1020000000000001</v>
      </c>
      <c r="O26" s="106">
        <f t="shared" si="5"/>
        <v>1.0669999999999999</v>
      </c>
      <c r="P26" s="106">
        <f t="shared" si="6"/>
        <v>1.6749999999999998E-2</v>
      </c>
      <c r="Q26" s="106">
        <f t="shared" si="7"/>
        <v>6.699999999999999E-2</v>
      </c>
      <c r="R26" s="26"/>
      <c r="S26" s="28"/>
      <c r="AG26" s="64"/>
    </row>
    <row r="27" spans="1:33" x14ac:dyDescent="0.35">
      <c r="A27" s="22">
        <v>1907</v>
      </c>
      <c r="B27" s="22"/>
      <c r="C27" s="22"/>
      <c r="D27" s="43">
        <f>'Consolidated underlying data'!E27</f>
        <v>3.5000000000000003E-2</v>
      </c>
      <c r="E27" s="47">
        <f t="shared" si="0"/>
        <v>8.7500000000000008E-3</v>
      </c>
      <c r="F27" s="43">
        <f>'Consolidated underlying data'!F27</f>
        <v>0</v>
      </c>
      <c r="G27" s="23">
        <f>'Consolidated underlying data'!B27</f>
        <v>8.7999999999999995E-2</v>
      </c>
      <c r="H27" s="24">
        <f t="shared" si="1"/>
        <v>8.8000000000000078E-2</v>
      </c>
      <c r="I27" s="24">
        <f t="shared" si="8"/>
        <v>1.0880000000000001</v>
      </c>
      <c r="J27" s="25">
        <f t="shared" si="2"/>
        <v>1.0529999999999999</v>
      </c>
      <c r="K27" s="23">
        <f>('Consolidated underlying data'!B27+'Consolidated underlying data'!J27*$M$1)</f>
        <v>8.7999999999999995E-2</v>
      </c>
      <c r="L27" s="106">
        <f t="shared" si="3"/>
        <v>2.1999999999999999E-2</v>
      </c>
      <c r="M27" s="30">
        <f t="shared" si="4"/>
        <v>8.8000000000000078E-2</v>
      </c>
      <c r="N27" s="30">
        <f t="shared" si="9"/>
        <v>1.0880000000000001</v>
      </c>
      <c r="O27" s="106">
        <f t="shared" si="5"/>
        <v>1.0529999999999999</v>
      </c>
      <c r="P27" s="106">
        <f t="shared" si="6"/>
        <v>1.3249999999999998E-2</v>
      </c>
      <c r="Q27" s="106">
        <f t="shared" si="7"/>
        <v>5.2999999999999992E-2</v>
      </c>
      <c r="R27" s="26"/>
      <c r="S27" s="28"/>
      <c r="AG27" s="64"/>
    </row>
    <row r="28" spans="1:33" x14ac:dyDescent="0.35">
      <c r="A28" s="22">
        <v>1908</v>
      </c>
      <c r="B28" s="22"/>
      <c r="C28" s="22"/>
      <c r="D28" s="43">
        <f>'Consolidated underlying data'!E28</f>
        <v>3.5000000000000003E-2</v>
      </c>
      <c r="E28" s="47">
        <f t="shared" si="0"/>
        <v>8.7500000000000008E-3</v>
      </c>
      <c r="F28" s="43">
        <f>'Consolidated underlying data'!F28</f>
        <v>6.3E-2</v>
      </c>
      <c r="G28" s="23">
        <f>'Consolidated underlying data'!B28</f>
        <v>0.17299999999999999</v>
      </c>
      <c r="H28" s="24">
        <f t="shared" si="1"/>
        <v>0.10348071495766709</v>
      </c>
      <c r="I28" s="24">
        <f t="shared" si="8"/>
        <v>1.1034807149576671</v>
      </c>
      <c r="J28" s="25">
        <f t="shared" si="2"/>
        <v>1.1379999999999999</v>
      </c>
      <c r="K28" s="23">
        <f>('Consolidated underlying data'!B28+'Consolidated underlying data'!J28*$M$1)</f>
        <v>0.17299999999999999</v>
      </c>
      <c r="L28" s="106">
        <f t="shared" si="3"/>
        <v>4.3249999999999997E-2</v>
      </c>
      <c r="M28" s="30">
        <f t="shared" si="4"/>
        <v>0.10348071495766709</v>
      </c>
      <c r="N28" s="30">
        <f t="shared" si="9"/>
        <v>1.1034807149576671</v>
      </c>
      <c r="O28" s="106">
        <f t="shared" si="5"/>
        <v>1.1379999999999999</v>
      </c>
      <c r="P28" s="106">
        <f t="shared" si="6"/>
        <v>3.4499999999999996E-2</v>
      </c>
      <c r="Q28" s="106">
        <f t="shared" si="7"/>
        <v>0.13799999999999998</v>
      </c>
      <c r="R28" s="26"/>
      <c r="S28" s="28"/>
      <c r="AG28" s="64"/>
    </row>
    <row r="29" spans="1:33" x14ac:dyDescent="0.35">
      <c r="A29" s="22">
        <v>1909</v>
      </c>
      <c r="B29" s="22"/>
      <c r="C29" s="22"/>
      <c r="D29" s="43">
        <f>'Consolidated underlying data'!E29</f>
        <v>3.5999999999999997E-2</v>
      </c>
      <c r="E29" s="47">
        <f t="shared" si="0"/>
        <v>8.9999999999999993E-3</v>
      </c>
      <c r="F29" s="43">
        <f>'Consolidated underlying data'!F29</f>
        <v>0</v>
      </c>
      <c r="G29" s="23">
        <f>'Consolidated underlying data'!B29</f>
        <v>0.13500000000000001</v>
      </c>
      <c r="H29" s="24">
        <f t="shared" si="1"/>
        <v>0.13500000000000001</v>
      </c>
      <c r="I29" s="24">
        <f t="shared" si="8"/>
        <v>1.135</v>
      </c>
      <c r="J29" s="25">
        <f t="shared" si="2"/>
        <v>1.099</v>
      </c>
      <c r="K29" s="23">
        <f>('Consolidated underlying data'!B29+'Consolidated underlying data'!J29*$M$1)</f>
        <v>0.13500000000000001</v>
      </c>
      <c r="L29" s="106">
        <f t="shared" si="3"/>
        <v>3.3750000000000002E-2</v>
      </c>
      <c r="M29" s="30">
        <f t="shared" si="4"/>
        <v>0.13500000000000001</v>
      </c>
      <c r="N29" s="30">
        <f t="shared" si="9"/>
        <v>1.135</v>
      </c>
      <c r="O29" s="106">
        <f t="shared" si="5"/>
        <v>1.099</v>
      </c>
      <c r="P29" s="106">
        <f t="shared" si="6"/>
        <v>2.4750000000000001E-2</v>
      </c>
      <c r="Q29" s="106">
        <f t="shared" si="7"/>
        <v>9.9000000000000005E-2</v>
      </c>
      <c r="R29" s="26"/>
      <c r="S29" s="28"/>
      <c r="AG29" s="64"/>
    </row>
    <row r="30" spans="1:33" x14ac:dyDescent="0.35">
      <c r="A30" s="22">
        <v>1910</v>
      </c>
      <c r="B30" s="22"/>
      <c r="C30" s="22"/>
      <c r="D30" s="43">
        <f>'Consolidated underlying data'!E30</f>
        <v>3.7999999999999999E-2</v>
      </c>
      <c r="E30" s="47">
        <f t="shared" si="0"/>
        <v>9.4999999999999998E-3</v>
      </c>
      <c r="F30" s="43">
        <f>'Consolidated underlying data'!F30</f>
        <v>0.02</v>
      </c>
      <c r="G30" s="23">
        <f>'Consolidated underlying data'!B30</f>
        <v>6.7000000000000004E-2</v>
      </c>
      <c r="H30" s="24">
        <f t="shared" si="1"/>
        <v>4.6078431372548856E-2</v>
      </c>
      <c r="I30" s="24">
        <f t="shared" si="8"/>
        <v>1.0460784313725489</v>
      </c>
      <c r="J30" s="25">
        <f t="shared" si="2"/>
        <v>1.0289999999999999</v>
      </c>
      <c r="K30" s="23">
        <f>('Consolidated underlying data'!B30+'Consolidated underlying data'!J30*$M$1)</f>
        <v>6.7000000000000004E-2</v>
      </c>
      <c r="L30" s="106">
        <f t="shared" si="3"/>
        <v>1.6750000000000001E-2</v>
      </c>
      <c r="M30" s="30">
        <f t="shared" si="4"/>
        <v>4.6078431372548856E-2</v>
      </c>
      <c r="N30" s="30">
        <f t="shared" si="9"/>
        <v>1.0460784313725489</v>
      </c>
      <c r="O30" s="106">
        <f t="shared" si="5"/>
        <v>1.0289999999999999</v>
      </c>
      <c r="P30" s="106">
        <f t="shared" si="6"/>
        <v>7.2500000000000012E-3</v>
      </c>
      <c r="Q30" s="106">
        <f t="shared" si="7"/>
        <v>2.9000000000000005E-2</v>
      </c>
      <c r="R30" s="26"/>
      <c r="S30" s="28"/>
      <c r="AG30" s="64"/>
    </row>
    <row r="31" spans="1:33" x14ac:dyDescent="0.35">
      <c r="A31" s="22">
        <v>1911</v>
      </c>
      <c r="B31" s="22"/>
      <c r="C31" s="22"/>
      <c r="D31" s="43">
        <f>'Consolidated underlying data'!E31</f>
        <v>3.7999999999999999E-2</v>
      </c>
      <c r="E31" s="47">
        <f t="shared" si="0"/>
        <v>9.4999999999999998E-3</v>
      </c>
      <c r="F31" s="43">
        <f>'Consolidated underlying data'!F31</f>
        <v>1.9E-2</v>
      </c>
      <c r="G31" s="23">
        <f>'Consolidated underlying data'!B31</f>
        <v>0.107</v>
      </c>
      <c r="H31" s="24">
        <f t="shared" si="1"/>
        <v>8.6359175662414245E-2</v>
      </c>
      <c r="I31" s="24">
        <f t="shared" si="8"/>
        <v>1.0863591756624142</v>
      </c>
      <c r="J31" s="25">
        <f t="shared" si="2"/>
        <v>1.069</v>
      </c>
      <c r="K31" s="23">
        <f>('Consolidated underlying data'!B31+'Consolidated underlying data'!J31*$M$1)</f>
        <v>0.107</v>
      </c>
      <c r="L31" s="106">
        <f t="shared" si="3"/>
        <v>2.6749999999999999E-2</v>
      </c>
      <c r="M31" s="30">
        <f t="shared" si="4"/>
        <v>8.6359175662414245E-2</v>
      </c>
      <c r="N31" s="30">
        <f t="shared" si="9"/>
        <v>1.0863591756624142</v>
      </c>
      <c r="O31" s="106">
        <f t="shared" si="5"/>
        <v>1.069</v>
      </c>
      <c r="P31" s="106">
        <f t="shared" si="6"/>
        <v>1.7250000000000001E-2</v>
      </c>
      <c r="Q31" s="106">
        <f t="shared" si="7"/>
        <v>6.9000000000000006E-2</v>
      </c>
      <c r="R31" s="26"/>
      <c r="S31" s="28"/>
      <c r="AG31" s="64"/>
    </row>
    <row r="32" spans="1:33" x14ac:dyDescent="0.35">
      <c r="A32" s="22">
        <v>1912</v>
      </c>
      <c r="B32" s="22"/>
      <c r="C32" s="22"/>
      <c r="D32" s="43">
        <f>'Consolidated underlying data'!E32</f>
        <v>3.9E-2</v>
      </c>
      <c r="E32" s="47">
        <f t="shared" si="0"/>
        <v>9.75E-3</v>
      </c>
      <c r="F32" s="43">
        <f>'Consolidated underlying data'!F32</f>
        <v>0.113</v>
      </c>
      <c r="G32" s="23">
        <f>'Consolidated underlying data'!B32</f>
        <v>8.5999999999999993E-2</v>
      </c>
      <c r="H32" s="24">
        <f t="shared" si="1"/>
        <v>-2.4258760107816579E-2</v>
      </c>
      <c r="I32" s="24">
        <f t="shared" si="8"/>
        <v>0.97574123989218342</v>
      </c>
      <c r="J32" s="25">
        <f t="shared" si="2"/>
        <v>1.0469999999999999</v>
      </c>
      <c r="K32" s="23">
        <f>('Consolidated underlying data'!B32+'Consolidated underlying data'!J32*$M$1)</f>
        <v>8.5999999999999993E-2</v>
      </c>
      <c r="L32" s="106">
        <f t="shared" si="3"/>
        <v>2.1499999999999998E-2</v>
      </c>
      <c r="M32" s="30">
        <f t="shared" si="4"/>
        <v>-2.4258760107816579E-2</v>
      </c>
      <c r="N32" s="30">
        <f t="shared" si="9"/>
        <v>0.97574123989218342</v>
      </c>
      <c r="O32" s="106">
        <f t="shared" si="5"/>
        <v>1.0469999999999999</v>
      </c>
      <c r="P32" s="106">
        <f t="shared" si="6"/>
        <v>1.1749999999999998E-2</v>
      </c>
      <c r="Q32" s="106">
        <f t="shared" si="7"/>
        <v>4.6999999999999993E-2</v>
      </c>
      <c r="R32" s="26"/>
      <c r="S32" s="28"/>
      <c r="AG32" s="64"/>
    </row>
    <row r="33" spans="1:33" x14ac:dyDescent="0.35">
      <c r="A33" s="22">
        <v>1913</v>
      </c>
      <c r="B33" s="22"/>
      <c r="C33" s="22"/>
      <c r="D33" s="43">
        <f>'Consolidated underlying data'!E33</f>
        <v>4.2999999999999997E-2</v>
      </c>
      <c r="E33" s="47">
        <f t="shared" si="0"/>
        <v>1.0749999999999999E-2</v>
      </c>
      <c r="F33" s="43">
        <f>'Consolidated underlying data'!F33</f>
        <v>0</v>
      </c>
      <c r="G33" s="23">
        <f>'Consolidated underlying data'!B33</f>
        <v>8.8999999999999996E-2</v>
      </c>
      <c r="H33" s="24">
        <f t="shared" si="1"/>
        <v>8.8999999999999968E-2</v>
      </c>
      <c r="I33" s="24">
        <f t="shared" si="8"/>
        <v>1.089</v>
      </c>
      <c r="J33" s="25">
        <f t="shared" si="2"/>
        <v>1.046</v>
      </c>
      <c r="K33" s="23">
        <f>('Consolidated underlying data'!B33+'Consolidated underlying data'!J33*$M$1)</f>
        <v>8.8999999999999996E-2</v>
      </c>
      <c r="L33" s="106">
        <f t="shared" si="3"/>
        <v>2.2249999999999999E-2</v>
      </c>
      <c r="M33" s="30">
        <f t="shared" si="4"/>
        <v>8.8999999999999968E-2</v>
      </c>
      <c r="N33" s="30">
        <f t="shared" si="9"/>
        <v>1.089</v>
      </c>
      <c r="O33" s="106">
        <f t="shared" si="5"/>
        <v>1.046</v>
      </c>
      <c r="P33" s="106">
        <f t="shared" si="6"/>
        <v>1.15E-2</v>
      </c>
      <c r="Q33" s="106">
        <f t="shared" si="7"/>
        <v>4.5999999999999999E-2</v>
      </c>
      <c r="R33" s="26"/>
      <c r="S33" s="28"/>
      <c r="AG33" s="64"/>
    </row>
    <row r="34" spans="1:33" x14ac:dyDescent="0.35">
      <c r="A34" s="22">
        <v>1914</v>
      </c>
      <c r="B34" s="22"/>
      <c r="C34" s="22"/>
      <c r="D34" s="43">
        <f>'Consolidated underlying data'!E34</f>
        <v>4.2999999999999997E-2</v>
      </c>
      <c r="E34" s="47">
        <f t="shared" si="0"/>
        <v>1.0749999999999999E-2</v>
      </c>
      <c r="F34" s="43">
        <f>'Consolidated underlying data'!F34</f>
        <v>3.4000000000000002E-2</v>
      </c>
      <c r="G34" s="23">
        <f>'Consolidated underlying data'!B34</f>
        <v>0.114</v>
      </c>
      <c r="H34" s="24">
        <f t="shared" si="1"/>
        <v>7.7369439071566903E-2</v>
      </c>
      <c r="I34" s="24">
        <f t="shared" si="8"/>
        <v>1.0773694390715669</v>
      </c>
      <c r="J34" s="25">
        <f t="shared" si="2"/>
        <v>1.071</v>
      </c>
      <c r="K34" s="23">
        <f>('Consolidated underlying data'!B34+'Consolidated underlying data'!J34*$M$1)</f>
        <v>0.114</v>
      </c>
      <c r="L34" s="106">
        <f t="shared" si="3"/>
        <v>2.8500000000000001E-2</v>
      </c>
      <c r="M34" s="30">
        <f t="shared" si="4"/>
        <v>7.7369439071566903E-2</v>
      </c>
      <c r="N34" s="30">
        <f t="shared" si="9"/>
        <v>1.0773694390715669</v>
      </c>
      <c r="O34" s="106">
        <f t="shared" si="5"/>
        <v>1.071</v>
      </c>
      <c r="P34" s="106">
        <f t="shared" si="6"/>
        <v>1.7750000000000002E-2</v>
      </c>
      <c r="Q34" s="106">
        <f t="shared" si="7"/>
        <v>7.1000000000000008E-2</v>
      </c>
      <c r="R34" s="26"/>
      <c r="S34" s="28"/>
      <c r="AG34" s="64"/>
    </row>
    <row r="35" spans="1:33" x14ac:dyDescent="0.35">
      <c r="A35" s="22">
        <v>1915</v>
      </c>
      <c r="B35" s="22"/>
      <c r="C35" s="22"/>
      <c r="D35" s="43">
        <f>'Consolidated underlying data'!E35</f>
        <v>4.5999999999999999E-2</v>
      </c>
      <c r="E35" s="47">
        <f t="shared" si="0"/>
        <v>1.15E-2</v>
      </c>
      <c r="F35" s="43">
        <f>'Consolidated underlying data'!F35</f>
        <v>0.14799999999999999</v>
      </c>
      <c r="G35" s="23">
        <f>'Consolidated underlying data'!B35</f>
        <v>-3.5000000000000003E-2</v>
      </c>
      <c r="H35" s="24">
        <f t="shared" ref="H35:H66" si="10">(1+G35)/(1+F35)-1</f>
        <v>-0.15940766550522645</v>
      </c>
      <c r="I35" s="24">
        <f t="shared" si="8"/>
        <v>0.84059233449477355</v>
      </c>
      <c r="J35" s="25">
        <f t="shared" ref="J35:J66" si="11">(G35-D35)+1</f>
        <v>0.91900000000000004</v>
      </c>
      <c r="K35" s="23">
        <f>('Consolidated underlying data'!B35+'Consolidated underlying data'!J35*$M$1)</f>
        <v>-3.5000000000000003E-2</v>
      </c>
      <c r="L35" s="106">
        <f t="shared" si="3"/>
        <v>-8.7500000000000008E-3</v>
      </c>
      <c r="M35" s="30">
        <f t="shared" ref="M35:M66" si="12">(1+K35)/(1+F35)-1</f>
        <v>-0.15940766550522645</v>
      </c>
      <c r="N35" s="30">
        <f t="shared" si="9"/>
        <v>0.84059233449477355</v>
      </c>
      <c r="O35" s="106">
        <f t="shared" ref="O35:O66" si="13">(K35-D35)+1</f>
        <v>0.91900000000000004</v>
      </c>
      <c r="P35" s="106">
        <f t="shared" ref="P35:P66" si="14">(L35-E35)</f>
        <v>-2.0250000000000001E-2</v>
      </c>
      <c r="Q35" s="106">
        <f t="shared" si="7"/>
        <v>-8.1000000000000003E-2</v>
      </c>
      <c r="R35" s="26"/>
      <c r="S35" s="28"/>
      <c r="AG35" s="64"/>
    </row>
    <row r="36" spans="1:33" x14ac:dyDescent="0.35">
      <c r="A36" s="22">
        <v>1916</v>
      </c>
      <c r="B36" s="22"/>
      <c r="C36" s="22"/>
      <c r="D36" s="43">
        <f>'Consolidated underlying data'!E36</f>
        <v>4.9000000000000002E-2</v>
      </c>
      <c r="E36" s="47">
        <f t="shared" si="0"/>
        <v>1.225E-2</v>
      </c>
      <c r="F36" s="43">
        <f>'Consolidated underlying data'!F36</f>
        <v>1.4E-2</v>
      </c>
      <c r="G36" s="23">
        <f>'Consolidated underlying data'!B36</f>
        <v>-3.4000000000000002E-2</v>
      </c>
      <c r="H36" s="24">
        <f t="shared" si="10"/>
        <v>-4.7337278106508895E-2</v>
      </c>
      <c r="I36" s="24">
        <f t="shared" si="8"/>
        <v>0.9526627218934911</v>
      </c>
      <c r="J36" s="25">
        <f t="shared" si="11"/>
        <v>0.91700000000000004</v>
      </c>
      <c r="K36" s="23">
        <f>('Consolidated underlying data'!B36+'Consolidated underlying data'!J36*$M$1)</f>
        <v>-3.4000000000000002E-2</v>
      </c>
      <c r="L36" s="106">
        <f t="shared" si="3"/>
        <v>-8.5000000000000006E-3</v>
      </c>
      <c r="M36" s="30">
        <f t="shared" si="12"/>
        <v>-4.7337278106508895E-2</v>
      </c>
      <c r="N36" s="30">
        <f t="shared" si="9"/>
        <v>0.9526627218934911</v>
      </c>
      <c r="O36" s="106">
        <f t="shared" si="13"/>
        <v>0.91700000000000004</v>
      </c>
      <c r="P36" s="106">
        <f t="shared" si="14"/>
        <v>-2.0750000000000001E-2</v>
      </c>
      <c r="Q36" s="106">
        <f t="shared" si="7"/>
        <v>-8.3000000000000004E-2</v>
      </c>
      <c r="R36" s="26"/>
      <c r="S36" s="28"/>
      <c r="AG36" s="64"/>
    </row>
    <row r="37" spans="1:33" x14ac:dyDescent="0.35">
      <c r="A37" s="22">
        <v>1917</v>
      </c>
      <c r="B37" s="22"/>
      <c r="C37" s="22"/>
      <c r="D37" s="43">
        <f>'Consolidated underlying data'!E37</f>
        <v>4.7E-2</v>
      </c>
      <c r="E37" s="47">
        <f t="shared" si="0"/>
        <v>1.175E-2</v>
      </c>
      <c r="F37" s="43">
        <f>'Consolidated underlying data'!F37</f>
        <v>5.6000000000000001E-2</v>
      </c>
      <c r="G37" s="23">
        <f>'Consolidated underlying data'!B37</f>
        <v>0.155</v>
      </c>
      <c r="H37" s="24">
        <f t="shared" si="10"/>
        <v>9.375E-2</v>
      </c>
      <c r="I37" s="24">
        <f t="shared" si="8"/>
        <v>1.09375</v>
      </c>
      <c r="J37" s="25">
        <f t="shared" si="11"/>
        <v>1.1080000000000001</v>
      </c>
      <c r="K37" s="23">
        <f>('Consolidated underlying data'!B37+'Consolidated underlying data'!J37*$M$1)</f>
        <v>0.155</v>
      </c>
      <c r="L37" s="106">
        <f t="shared" si="3"/>
        <v>3.875E-2</v>
      </c>
      <c r="M37" s="30">
        <f t="shared" si="12"/>
        <v>9.375E-2</v>
      </c>
      <c r="N37" s="30">
        <f t="shared" si="9"/>
        <v>1.09375</v>
      </c>
      <c r="O37" s="106">
        <f t="shared" si="13"/>
        <v>1.1080000000000001</v>
      </c>
      <c r="P37" s="106">
        <f t="shared" si="14"/>
        <v>2.7E-2</v>
      </c>
      <c r="Q37" s="106">
        <f t="shared" si="7"/>
        <v>0.108</v>
      </c>
      <c r="R37" s="26"/>
      <c r="S37" s="28"/>
      <c r="AG37" s="64"/>
    </row>
    <row r="38" spans="1:33" x14ac:dyDescent="0.35">
      <c r="A38" s="22">
        <v>1918</v>
      </c>
      <c r="B38" s="22"/>
      <c r="C38" s="22"/>
      <c r="D38" s="43">
        <f>'Consolidated underlying data'!E38</f>
        <v>0.05</v>
      </c>
      <c r="E38" s="47">
        <f t="shared" si="0"/>
        <v>1.2500000000000001E-2</v>
      </c>
      <c r="F38" s="43">
        <f>'Consolidated underlying data'!F38</f>
        <v>6.7000000000000004E-2</v>
      </c>
      <c r="G38" s="23">
        <f>'Consolidated underlying data'!B38</f>
        <v>7.4999999999999997E-2</v>
      </c>
      <c r="H38" s="24">
        <f t="shared" si="10"/>
        <v>7.4976569821931793E-3</v>
      </c>
      <c r="I38" s="24">
        <f t="shared" si="8"/>
        <v>1.0074976569821932</v>
      </c>
      <c r="J38" s="25">
        <f t="shared" si="11"/>
        <v>1.0249999999999999</v>
      </c>
      <c r="K38" s="23">
        <f>('Consolidated underlying data'!B38+'Consolidated underlying data'!J38*$M$1)</f>
        <v>7.4999999999999997E-2</v>
      </c>
      <c r="L38" s="106">
        <f t="shared" si="3"/>
        <v>1.8749999999999999E-2</v>
      </c>
      <c r="M38" s="30">
        <f t="shared" si="12"/>
        <v>7.4976569821931793E-3</v>
      </c>
      <c r="N38" s="30">
        <f t="shared" si="9"/>
        <v>1.0074976569821932</v>
      </c>
      <c r="O38" s="106">
        <f t="shared" si="13"/>
        <v>1.0249999999999999</v>
      </c>
      <c r="P38" s="106">
        <f t="shared" si="14"/>
        <v>6.2499999999999986E-3</v>
      </c>
      <c r="Q38" s="106">
        <f t="shared" si="7"/>
        <v>2.4999999999999994E-2</v>
      </c>
      <c r="R38" s="26"/>
      <c r="S38" s="28"/>
      <c r="AG38" s="64"/>
    </row>
    <row r="39" spans="1:33" x14ac:dyDescent="0.35">
      <c r="A39" s="22">
        <v>1919</v>
      </c>
      <c r="B39" s="22"/>
      <c r="C39" s="22"/>
      <c r="D39" s="43">
        <f>'Consolidated underlying data'!E39</f>
        <v>5.3999999999999999E-2</v>
      </c>
      <c r="E39" s="47">
        <f t="shared" si="0"/>
        <v>1.35E-2</v>
      </c>
      <c r="F39" s="43">
        <f>'Consolidated underlying data'!F39</f>
        <v>0.13800000000000001</v>
      </c>
      <c r="G39" s="23">
        <f>'Consolidated underlying data'!B39</f>
        <v>0.187</v>
      </c>
      <c r="H39" s="24">
        <f t="shared" si="10"/>
        <v>4.30579964850617E-2</v>
      </c>
      <c r="I39" s="24">
        <f t="shared" si="8"/>
        <v>1.0430579964850617</v>
      </c>
      <c r="J39" s="25">
        <f t="shared" si="11"/>
        <v>1.133</v>
      </c>
      <c r="K39" s="23">
        <f>('Consolidated underlying data'!B39+'Consolidated underlying data'!J39*$M$1)</f>
        <v>0.187</v>
      </c>
      <c r="L39" s="106">
        <f t="shared" si="3"/>
        <v>4.675E-2</v>
      </c>
      <c r="M39" s="30">
        <f t="shared" si="12"/>
        <v>4.30579964850617E-2</v>
      </c>
      <c r="N39" s="30">
        <f t="shared" si="9"/>
        <v>1.0430579964850617</v>
      </c>
      <c r="O39" s="106">
        <f t="shared" si="13"/>
        <v>1.133</v>
      </c>
      <c r="P39" s="106">
        <f t="shared" si="14"/>
        <v>3.3250000000000002E-2</v>
      </c>
      <c r="Q39" s="106">
        <f t="shared" si="7"/>
        <v>0.13300000000000001</v>
      </c>
      <c r="R39" s="26"/>
      <c r="S39" s="28"/>
      <c r="AG39" s="64"/>
    </row>
    <row r="40" spans="1:33" x14ac:dyDescent="0.35">
      <c r="A40" s="22">
        <v>1920</v>
      </c>
      <c r="B40" s="22"/>
      <c r="C40" s="22"/>
      <c r="D40" s="43">
        <f>'Consolidated underlying data'!E40</f>
        <v>6.7000000000000004E-2</v>
      </c>
      <c r="E40" s="47">
        <f t="shared" si="0"/>
        <v>1.6750000000000001E-2</v>
      </c>
      <c r="F40" s="43">
        <f>'Consolidated underlying data'!F40</f>
        <v>0.13200000000000001</v>
      </c>
      <c r="G40" s="23">
        <f>'Consolidated underlying data'!B40</f>
        <v>8.1000000000000003E-2</v>
      </c>
      <c r="H40" s="24">
        <f t="shared" si="10"/>
        <v>-4.5053003533569003E-2</v>
      </c>
      <c r="I40" s="24">
        <f t="shared" si="8"/>
        <v>0.954946996466431</v>
      </c>
      <c r="J40" s="25">
        <f t="shared" si="11"/>
        <v>1.014</v>
      </c>
      <c r="K40" s="23">
        <f>('Consolidated underlying data'!B40+'Consolidated underlying data'!J40*$M$1)</f>
        <v>8.1000000000000003E-2</v>
      </c>
      <c r="L40" s="106">
        <f t="shared" si="3"/>
        <v>2.0250000000000001E-2</v>
      </c>
      <c r="M40" s="30">
        <f t="shared" si="12"/>
        <v>-4.5053003533569003E-2</v>
      </c>
      <c r="N40" s="30">
        <f t="shared" si="9"/>
        <v>0.954946996466431</v>
      </c>
      <c r="O40" s="106">
        <f t="shared" si="13"/>
        <v>1.014</v>
      </c>
      <c r="P40" s="106">
        <f t="shared" si="14"/>
        <v>3.4999999999999996E-3</v>
      </c>
      <c r="Q40" s="106">
        <f t="shared" si="7"/>
        <v>1.3999999999999999E-2</v>
      </c>
      <c r="R40" s="26"/>
      <c r="S40" s="28"/>
      <c r="AG40" s="64"/>
    </row>
    <row r="41" spans="1:33" x14ac:dyDescent="0.35">
      <c r="A41" s="22">
        <v>1921</v>
      </c>
      <c r="B41" s="22"/>
      <c r="C41" s="22"/>
      <c r="D41" s="43">
        <f>'Consolidated underlying data'!E41</f>
        <v>5.8999999999999997E-2</v>
      </c>
      <c r="E41" s="47">
        <f t="shared" si="0"/>
        <v>1.4749999999999999E-2</v>
      </c>
      <c r="F41" s="43">
        <f>'Consolidated underlying data'!F41</f>
        <v>-0.126</v>
      </c>
      <c r="G41" s="23">
        <f>'Consolidated underlying data'!B41</f>
        <v>0.19900000000000001</v>
      </c>
      <c r="H41" s="24">
        <f t="shared" si="10"/>
        <v>0.37185354691075512</v>
      </c>
      <c r="I41" s="24">
        <f t="shared" si="8"/>
        <v>1.3718535469107551</v>
      </c>
      <c r="J41" s="25">
        <f t="shared" si="11"/>
        <v>1.1400000000000001</v>
      </c>
      <c r="K41" s="23">
        <f>('Consolidated underlying data'!B41+'Consolidated underlying data'!J41*$M$1)</f>
        <v>0.19900000000000001</v>
      </c>
      <c r="L41" s="106">
        <f t="shared" si="3"/>
        <v>4.9750000000000003E-2</v>
      </c>
      <c r="M41" s="30">
        <f t="shared" si="12"/>
        <v>0.37185354691075512</v>
      </c>
      <c r="N41" s="30">
        <f t="shared" si="9"/>
        <v>1.3718535469107551</v>
      </c>
      <c r="O41" s="106">
        <f t="shared" si="13"/>
        <v>1.1400000000000001</v>
      </c>
      <c r="P41" s="106">
        <f t="shared" si="14"/>
        <v>3.5000000000000003E-2</v>
      </c>
      <c r="Q41" s="106">
        <f t="shared" si="7"/>
        <v>0.14000000000000001</v>
      </c>
      <c r="R41" s="26"/>
      <c r="S41" s="28"/>
      <c r="AG41" s="64"/>
    </row>
    <row r="42" spans="1:33" x14ac:dyDescent="0.35">
      <c r="A42" s="22">
        <v>1922</v>
      </c>
      <c r="B42" s="22"/>
      <c r="C42" s="22"/>
      <c r="D42" s="43">
        <f>'Consolidated underlying data'!E42</f>
        <v>5.7000000000000002E-2</v>
      </c>
      <c r="E42" s="47">
        <f t="shared" si="0"/>
        <v>1.4250000000000001E-2</v>
      </c>
      <c r="F42" s="43">
        <f>'Consolidated underlying data'!F42</f>
        <v>-3.3000000000000002E-2</v>
      </c>
      <c r="G42" s="23">
        <f>'Consolidated underlying data'!B42</f>
        <v>0.21299999999999999</v>
      </c>
      <c r="H42" s="24">
        <f t="shared" si="10"/>
        <v>0.25439503619441584</v>
      </c>
      <c r="I42" s="24">
        <f t="shared" si="8"/>
        <v>1.2543950361944158</v>
      </c>
      <c r="J42" s="25">
        <f t="shared" si="11"/>
        <v>1.1559999999999999</v>
      </c>
      <c r="K42" s="23">
        <f>('Consolidated underlying data'!B42+'Consolidated underlying data'!J42*$M$1)</f>
        <v>0.21299999999999999</v>
      </c>
      <c r="L42" s="106">
        <f t="shared" si="3"/>
        <v>5.3249999999999999E-2</v>
      </c>
      <c r="M42" s="30">
        <f t="shared" si="12"/>
        <v>0.25439503619441584</v>
      </c>
      <c r="N42" s="30">
        <f t="shared" si="9"/>
        <v>1.2543950361944158</v>
      </c>
      <c r="O42" s="106">
        <f t="shared" si="13"/>
        <v>1.1559999999999999</v>
      </c>
      <c r="P42" s="106">
        <f t="shared" si="14"/>
        <v>3.9E-2</v>
      </c>
      <c r="Q42" s="106">
        <f t="shared" si="7"/>
        <v>0.156</v>
      </c>
      <c r="R42" s="26"/>
      <c r="S42" s="28"/>
      <c r="AG42" s="64"/>
    </row>
    <row r="43" spans="1:33" x14ac:dyDescent="0.35">
      <c r="A43" s="22">
        <v>1923</v>
      </c>
      <c r="B43" s="22"/>
      <c r="C43" s="22"/>
      <c r="D43" s="43">
        <f>'Consolidated underlying data'!E43</f>
        <v>5.8999999999999997E-2</v>
      </c>
      <c r="E43" s="47">
        <f t="shared" si="0"/>
        <v>1.4749999999999999E-2</v>
      </c>
      <c r="F43" s="43">
        <f>'Consolidated underlying data'!F43</f>
        <v>2.3E-2</v>
      </c>
      <c r="G43" s="23">
        <f>'Consolidated underlying data'!B43</f>
        <v>0.16200000000000001</v>
      </c>
      <c r="H43" s="24">
        <f t="shared" si="10"/>
        <v>0.13587487781036178</v>
      </c>
      <c r="I43" s="24">
        <f t="shared" si="8"/>
        <v>1.1358748778103618</v>
      </c>
      <c r="J43" s="25">
        <f t="shared" si="11"/>
        <v>1.103</v>
      </c>
      <c r="K43" s="23">
        <f>('Consolidated underlying data'!B43+'Consolidated underlying data'!J43*$M$1)</f>
        <v>0.16200000000000001</v>
      </c>
      <c r="L43" s="106">
        <f t="shared" si="3"/>
        <v>4.0500000000000001E-2</v>
      </c>
      <c r="M43" s="30">
        <f t="shared" si="12"/>
        <v>0.13587487781036178</v>
      </c>
      <c r="N43" s="30">
        <f t="shared" si="9"/>
        <v>1.1358748778103618</v>
      </c>
      <c r="O43" s="106">
        <f t="shared" si="13"/>
        <v>1.103</v>
      </c>
      <c r="P43" s="106">
        <f t="shared" si="14"/>
        <v>2.5750000000000002E-2</v>
      </c>
      <c r="Q43" s="106">
        <f t="shared" si="7"/>
        <v>0.10300000000000001</v>
      </c>
      <c r="R43" s="26"/>
      <c r="S43" s="28"/>
      <c r="AG43" s="64"/>
    </row>
    <row r="44" spans="1:33" x14ac:dyDescent="0.35">
      <c r="A44" s="22">
        <v>1924</v>
      </c>
      <c r="B44" s="22"/>
      <c r="C44" s="22"/>
      <c r="D44" s="43">
        <f>'Consolidated underlying data'!E44</f>
        <v>5.3999999999999999E-2</v>
      </c>
      <c r="E44" s="47">
        <f t="shared" si="0"/>
        <v>1.35E-2</v>
      </c>
      <c r="F44" s="43">
        <f>'Consolidated underlying data'!F44</f>
        <v>-1.0999999999999999E-2</v>
      </c>
      <c r="G44" s="23">
        <f>'Consolidated underlying data'!B44</f>
        <v>0.13700000000000001</v>
      </c>
      <c r="H44" s="24">
        <f t="shared" si="10"/>
        <v>0.14964610717896876</v>
      </c>
      <c r="I44" s="24">
        <f t="shared" si="8"/>
        <v>1.1496461071789688</v>
      </c>
      <c r="J44" s="25">
        <f t="shared" si="11"/>
        <v>1.083</v>
      </c>
      <c r="K44" s="23">
        <f>('Consolidated underlying data'!B44+'Consolidated underlying data'!J44*$M$1)</f>
        <v>0.13700000000000001</v>
      </c>
      <c r="L44" s="106">
        <f t="shared" si="3"/>
        <v>3.4250000000000003E-2</v>
      </c>
      <c r="M44" s="30">
        <f t="shared" si="12"/>
        <v>0.14964610717896876</v>
      </c>
      <c r="N44" s="30">
        <f t="shared" si="9"/>
        <v>1.1496461071789688</v>
      </c>
      <c r="O44" s="106">
        <f t="shared" si="13"/>
        <v>1.083</v>
      </c>
      <c r="P44" s="106">
        <f t="shared" si="14"/>
        <v>2.0750000000000005E-2</v>
      </c>
      <c r="Q44" s="106">
        <f t="shared" si="7"/>
        <v>8.3000000000000018E-2</v>
      </c>
      <c r="R44" s="26"/>
      <c r="S44" s="28"/>
      <c r="AG44" s="64"/>
    </row>
    <row r="45" spans="1:33" x14ac:dyDescent="0.35">
      <c r="A45" s="22">
        <v>1925</v>
      </c>
      <c r="B45" s="22"/>
      <c r="C45" s="22"/>
      <c r="D45" s="43">
        <f>'Consolidated underlying data'!E45</f>
        <v>5.1999999999999998E-2</v>
      </c>
      <c r="E45" s="47">
        <f t="shared" si="0"/>
        <v>1.2999999999999999E-2</v>
      </c>
      <c r="F45" s="43">
        <f>'Consolidated underlying data'!F45</f>
        <v>0</v>
      </c>
      <c r="G45" s="23">
        <f>'Consolidated underlying data'!B45</f>
        <v>0.17699999999999999</v>
      </c>
      <c r="H45" s="24">
        <f t="shared" si="10"/>
        <v>0.17700000000000005</v>
      </c>
      <c r="I45" s="24">
        <f t="shared" si="8"/>
        <v>1.177</v>
      </c>
      <c r="J45" s="25">
        <f t="shared" si="11"/>
        <v>1.125</v>
      </c>
      <c r="K45" s="23">
        <f>('Consolidated underlying data'!B45+'Consolidated underlying data'!J45*$M$1)</f>
        <v>0.17699999999999999</v>
      </c>
      <c r="L45" s="106">
        <f t="shared" si="3"/>
        <v>4.4249999999999998E-2</v>
      </c>
      <c r="M45" s="30">
        <f t="shared" si="12"/>
        <v>0.17700000000000005</v>
      </c>
      <c r="N45" s="30">
        <f t="shared" si="9"/>
        <v>1.177</v>
      </c>
      <c r="O45" s="106">
        <f t="shared" si="13"/>
        <v>1.125</v>
      </c>
      <c r="P45" s="106">
        <f t="shared" si="14"/>
        <v>3.125E-2</v>
      </c>
      <c r="Q45" s="106">
        <f t="shared" si="7"/>
        <v>0.125</v>
      </c>
      <c r="R45" s="26"/>
      <c r="S45" s="28"/>
      <c r="AG45" s="64"/>
    </row>
    <row r="46" spans="1:33" x14ac:dyDescent="0.35">
      <c r="A46" s="22">
        <v>1926</v>
      </c>
      <c r="B46" s="22"/>
      <c r="C46" s="22"/>
      <c r="D46" s="43">
        <f>'Consolidated underlying data'!E46</f>
        <v>5.2999999999999999E-2</v>
      </c>
      <c r="E46" s="47">
        <f t="shared" si="0"/>
        <v>1.325E-2</v>
      </c>
      <c r="F46" s="43">
        <f>'Consolidated underlying data'!F46</f>
        <v>2.3E-2</v>
      </c>
      <c r="G46" s="23">
        <f>'Consolidated underlying data'!B46</f>
        <v>0.14099999999999999</v>
      </c>
      <c r="H46" s="24">
        <f t="shared" si="10"/>
        <v>0.11534701857282514</v>
      </c>
      <c r="I46" s="24">
        <f t="shared" si="8"/>
        <v>1.1153470185728251</v>
      </c>
      <c r="J46" s="25">
        <f t="shared" si="11"/>
        <v>1.0880000000000001</v>
      </c>
      <c r="K46" s="23">
        <f>('Consolidated underlying data'!B46+'Consolidated underlying data'!J46*$M$1)</f>
        <v>0.14099999999999999</v>
      </c>
      <c r="L46" s="106">
        <f t="shared" si="3"/>
        <v>3.5249999999999997E-2</v>
      </c>
      <c r="M46" s="30">
        <f t="shared" si="12"/>
        <v>0.11534701857282514</v>
      </c>
      <c r="N46" s="30">
        <f t="shared" si="9"/>
        <v>1.1153470185728251</v>
      </c>
      <c r="O46" s="106">
        <f t="shared" si="13"/>
        <v>1.0880000000000001</v>
      </c>
      <c r="P46" s="106">
        <f t="shared" si="14"/>
        <v>2.1999999999999999E-2</v>
      </c>
      <c r="Q46" s="106">
        <f t="shared" si="7"/>
        <v>8.7999999999999995E-2</v>
      </c>
      <c r="R46" s="26"/>
      <c r="S46" s="28"/>
      <c r="AG46" s="64"/>
    </row>
    <row r="47" spans="1:33" x14ac:dyDescent="0.35">
      <c r="A47" s="22">
        <v>1927</v>
      </c>
      <c r="B47" s="22"/>
      <c r="C47" s="22"/>
      <c r="D47" s="43">
        <f>'Consolidated underlying data'!E47</f>
        <v>5.3999999999999999E-2</v>
      </c>
      <c r="E47" s="47">
        <f t="shared" si="0"/>
        <v>1.35E-2</v>
      </c>
      <c r="F47" s="43">
        <f>'Consolidated underlying data'!F47</f>
        <v>-1.0999999999999999E-2</v>
      </c>
      <c r="G47" s="23">
        <f>'Consolidated underlying data'!B47</f>
        <v>0.124</v>
      </c>
      <c r="H47" s="24">
        <f t="shared" si="10"/>
        <v>0.13650151668351884</v>
      </c>
      <c r="I47" s="24">
        <f t="shared" si="8"/>
        <v>1.1365015166835188</v>
      </c>
      <c r="J47" s="25">
        <f t="shared" si="11"/>
        <v>1.07</v>
      </c>
      <c r="K47" s="23">
        <f>('Consolidated underlying data'!B47+'Consolidated underlying data'!J47*$M$1)</f>
        <v>0.124</v>
      </c>
      <c r="L47" s="106">
        <f t="shared" si="3"/>
        <v>3.1E-2</v>
      </c>
      <c r="M47" s="30">
        <f t="shared" si="12"/>
        <v>0.13650151668351884</v>
      </c>
      <c r="N47" s="30">
        <f t="shared" si="9"/>
        <v>1.1365015166835188</v>
      </c>
      <c r="O47" s="106">
        <f t="shared" si="13"/>
        <v>1.07</v>
      </c>
      <c r="P47" s="106">
        <f t="shared" si="14"/>
        <v>1.7500000000000002E-2</v>
      </c>
      <c r="Q47" s="106">
        <f t="shared" si="7"/>
        <v>7.0000000000000007E-2</v>
      </c>
      <c r="R47" s="26"/>
      <c r="S47" s="28"/>
      <c r="AG47" s="64"/>
    </row>
    <row r="48" spans="1:33" x14ac:dyDescent="0.35">
      <c r="A48" s="22">
        <v>1928</v>
      </c>
      <c r="B48" s="22"/>
      <c r="C48" s="22"/>
      <c r="D48" s="43">
        <f>'Consolidated underlying data'!E48</f>
        <v>5.2999999999999999E-2</v>
      </c>
      <c r="E48" s="47">
        <f t="shared" si="0"/>
        <v>1.325E-2</v>
      </c>
      <c r="F48" s="43">
        <f>'Consolidated underlying data'!F48</f>
        <v>0</v>
      </c>
      <c r="G48" s="23">
        <f>'Consolidated underlying data'!B48</f>
        <v>0.17699999999999999</v>
      </c>
      <c r="H48" s="24">
        <f t="shared" si="10"/>
        <v>0.17700000000000005</v>
      </c>
      <c r="I48" s="24">
        <f t="shared" si="8"/>
        <v>1.177</v>
      </c>
      <c r="J48" s="25">
        <f t="shared" si="11"/>
        <v>1.1240000000000001</v>
      </c>
      <c r="K48" s="23">
        <f>('Consolidated underlying data'!B48+'Consolidated underlying data'!J48*$M$1)</f>
        <v>0.17699999999999999</v>
      </c>
      <c r="L48" s="106">
        <f t="shared" si="3"/>
        <v>4.4249999999999998E-2</v>
      </c>
      <c r="M48" s="30">
        <f t="shared" si="12"/>
        <v>0.17700000000000005</v>
      </c>
      <c r="N48" s="30">
        <f t="shared" si="9"/>
        <v>1.177</v>
      </c>
      <c r="O48" s="106">
        <f t="shared" si="13"/>
        <v>1.1240000000000001</v>
      </c>
      <c r="P48" s="106">
        <f t="shared" si="14"/>
        <v>3.1E-2</v>
      </c>
      <c r="Q48" s="106">
        <f t="shared" si="7"/>
        <v>0.124</v>
      </c>
      <c r="R48" s="26"/>
      <c r="S48" s="28"/>
      <c r="AG48" s="64"/>
    </row>
    <row r="49" spans="1:33" x14ac:dyDescent="0.35">
      <c r="A49" s="22">
        <v>1929</v>
      </c>
      <c r="B49" s="22"/>
      <c r="C49" s="22"/>
      <c r="D49" s="43">
        <f>'Consolidated underlying data'!E49</f>
        <v>5.6000000000000001E-2</v>
      </c>
      <c r="E49" s="47">
        <f t="shared" si="0"/>
        <v>1.4E-2</v>
      </c>
      <c r="F49" s="43">
        <f>'Consolidated underlying data'!F49</f>
        <v>2.1999999999999999E-2</v>
      </c>
      <c r="G49" s="23">
        <f>'Consolidated underlying data'!B49</f>
        <v>-5.2999999999999999E-2</v>
      </c>
      <c r="H49" s="24">
        <f t="shared" si="10"/>
        <v>-7.3385518590998067E-2</v>
      </c>
      <c r="I49" s="24">
        <f t="shared" si="8"/>
        <v>0.92661448140900193</v>
      </c>
      <c r="J49" s="25">
        <f t="shared" si="11"/>
        <v>0.89100000000000001</v>
      </c>
      <c r="K49" s="23">
        <f>('Consolidated underlying data'!B49+'Consolidated underlying data'!J49*$M$1)</f>
        <v>-5.2999999999999999E-2</v>
      </c>
      <c r="L49" s="106">
        <f t="shared" si="3"/>
        <v>-1.325E-2</v>
      </c>
      <c r="M49" s="30">
        <f t="shared" si="12"/>
        <v>-7.3385518590998067E-2</v>
      </c>
      <c r="N49" s="30">
        <f t="shared" si="9"/>
        <v>0.92661448140900193</v>
      </c>
      <c r="O49" s="106">
        <f t="shared" si="13"/>
        <v>0.89100000000000001</v>
      </c>
      <c r="P49" s="106">
        <f t="shared" si="14"/>
        <v>-2.725E-2</v>
      </c>
      <c r="Q49" s="106">
        <f t="shared" si="7"/>
        <v>-0.109</v>
      </c>
      <c r="R49" s="26"/>
      <c r="S49" s="28"/>
      <c r="AG49" s="64"/>
    </row>
    <row r="50" spans="1:33" x14ac:dyDescent="0.35">
      <c r="A50" s="22">
        <v>1930</v>
      </c>
      <c r="B50" s="22"/>
      <c r="C50" s="22"/>
      <c r="D50" s="43">
        <f>'Consolidated underlying data'!E50</f>
        <v>6.5000000000000002E-2</v>
      </c>
      <c r="E50" s="47">
        <f t="shared" si="0"/>
        <v>1.6250000000000001E-2</v>
      </c>
      <c r="F50" s="43">
        <f>'Consolidated underlying data'!F50</f>
        <v>-4.3999999999999997E-2</v>
      </c>
      <c r="G50" s="23">
        <f>'Consolidated underlying data'!B50</f>
        <v>-0.29599999999999999</v>
      </c>
      <c r="H50" s="24">
        <f t="shared" si="10"/>
        <v>-0.2635983263598326</v>
      </c>
      <c r="I50" s="24">
        <f t="shared" si="8"/>
        <v>0.7364016736401674</v>
      </c>
      <c r="J50" s="25">
        <f t="shared" si="11"/>
        <v>0.63900000000000001</v>
      </c>
      <c r="K50" s="23">
        <f>('Consolidated underlying data'!B50+'Consolidated underlying data'!J50*$M$1)</f>
        <v>-0.29599999999999999</v>
      </c>
      <c r="L50" s="106">
        <f t="shared" si="3"/>
        <v>-7.3999999999999996E-2</v>
      </c>
      <c r="M50" s="30">
        <f t="shared" si="12"/>
        <v>-0.2635983263598326</v>
      </c>
      <c r="N50" s="30">
        <f t="shared" si="9"/>
        <v>0.7364016736401674</v>
      </c>
      <c r="O50" s="106">
        <f t="shared" si="13"/>
        <v>0.63900000000000001</v>
      </c>
      <c r="P50" s="106">
        <f t="shared" si="14"/>
        <v>-9.0249999999999997E-2</v>
      </c>
      <c r="Q50" s="106">
        <f t="shared" si="7"/>
        <v>-0.36099999999999999</v>
      </c>
      <c r="R50" s="26"/>
      <c r="S50" s="28"/>
      <c r="AG50" s="64"/>
    </row>
    <row r="51" spans="1:33" x14ac:dyDescent="0.35">
      <c r="A51" s="22">
        <v>1931</v>
      </c>
      <c r="B51" s="22"/>
      <c r="C51" s="22"/>
      <c r="D51" s="43">
        <f>'Consolidated underlying data'!E51</f>
        <v>4.7E-2</v>
      </c>
      <c r="E51" s="47">
        <f t="shared" si="0"/>
        <v>1.175E-2</v>
      </c>
      <c r="F51" s="43">
        <f>'Consolidated underlying data'!F51</f>
        <v>-0.10299999999999999</v>
      </c>
      <c r="G51" s="23">
        <f>'Consolidated underlying data'!B51</f>
        <v>0.17699999999999999</v>
      </c>
      <c r="H51" s="24">
        <f t="shared" si="10"/>
        <v>0.31215161649944267</v>
      </c>
      <c r="I51" s="24">
        <f t="shared" si="8"/>
        <v>1.3121516164994427</v>
      </c>
      <c r="J51" s="25">
        <f t="shared" si="11"/>
        <v>1.1299999999999999</v>
      </c>
      <c r="K51" s="23">
        <f>('Consolidated underlying data'!B51+'Consolidated underlying data'!J51*$M$1)</f>
        <v>0.17699999999999999</v>
      </c>
      <c r="L51" s="106">
        <f t="shared" si="3"/>
        <v>4.4249999999999998E-2</v>
      </c>
      <c r="M51" s="30">
        <f t="shared" si="12"/>
        <v>0.31215161649944267</v>
      </c>
      <c r="N51" s="30">
        <f t="shared" si="9"/>
        <v>1.3121516164994427</v>
      </c>
      <c r="O51" s="106">
        <f t="shared" si="13"/>
        <v>1.1299999999999999</v>
      </c>
      <c r="P51" s="106">
        <f t="shared" si="14"/>
        <v>3.2500000000000001E-2</v>
      </c>
      <c r="Q51" s="106">
        <f t="shared" si="7"/>
        <v>0.13</v>
      </c>
      <c r="R51" s="26"/>
      <c r="S51" s="28"/>
      <c r="AG51" s="64"/>
    </row>
    <row r="52" spans="1:33" x14ac:dyDescent="0.35">
      <c r="A52" s="22">
        <v>1932</v>
      </c>
      <c r="B52" s="22"/>
      <c r="C52" s="22"/>
      <c r="D52" s="43">
        <f>'Consolidated underlying data'!E52</f>
        <v>3.9E-2</v>
      </c>
      <c r="E52" s="47">
        <f t="shared" si="0"/>
        <v>9.75E-3</v>
      </c>
      <c r="F52" s="43">
        <f>'Consolidated underlying data'!F52</f>
        <v>-5.0999999999999997E-2</v>
      </c>
      <c r="G52" s="23">
        <f>'Consolidated underlying data'!B52</f>
        <v>0.248</v>
      </c>
      <c r="H52" s="24">
        <f t="shared" si="10"/>
        <v>0.31506849315068508</v>
      </c>
      <c r="I52" s="24">
        <f t="shared" si="8"/>
        <v>1.3150684931506851</v>
      </c>
      <c r="J52" s="25">
        <f t="shared" si="11"/>
        <v>1.2090000000000001</v>
      </c>
      <c r="K52" s="23">
        <f>('Consolidated underlying data'!B52+'Consolidated underlying data'!J52*$M$1)</f>
        <v>0.248</v>
      </c>
      <c r="L52" s="106">
        <f t="shared" si="3"/>
        <v>6.2E-2</v>
      </c>
      <c r="M52" s="30">
        <f t="shared" si="12"/>
        <v>0.31506849315068508</v>
      </c>
      <c r="N52" s="30">
        <f t="shared" si="9"/>
        <v>1.3150684931506851</v>
      </c>
      <c r="O52" s="106">
        <f t="shared" si="13"/>
        <v>1.2090000000000001</v>
      </c>
      <c r="P52" s="106">
        <f t="shared" si="14"/>
        <v>5.2249999999999998E-2</v>
      </c>
      <c r="Q52" s="106">
        <f t="shared" si="7"/>
        <v>0.20899999999999999</v>
      </c>
      <c r="R52" s="26"/>
      <c r="S52" s="28"/>
      <c r="AG52" s="64"/>
    </row>
    <row r="53" spans="1:33" x14ac:dyDescent="0.35">
      <c r="A53" s="22">
        <v>1933</v>
      </c>
      <c r="B53" s="22"/>
      <c r="C53" s="22"/>
      <c r="D53" s="43">
        <f>'Consolidated underlying data'!E53</f>
        <v>3.5999999999999997E-2</v>
      </c>
      <c r="E53" s="47">
        <f t="shared" si="0"/>
        <v>8.9999999999999993E-3</v>
      </c>
      <c r="F53" s="43">
        <f>'Consolidated underlying data'!F53</f>
        <v>-4.1000000000000002E-2</v>
      </c>
      <c r="G53" s="23">
        <f>'Consolidated underlying data'!B53</f>
        <v>0.25600000000000001</v>
      </c>
      <c r="H53" s="24">
        <f t="shared" si="10"/>
        <v>0.30969760166840454</v>
      </c>
      <c r="I53" s="24">
        <f t="shared" si="8"/>
        <v>1.3096976016684045</v>
      </c>
      <c r="J53" s="25">
        <f t="shared" si="11"/>
        <v>1.22</v>
      </c>
      <c r="K53" s="23">
        <f>('Consolidated underlying data'!B53+'Consolidated underlying data'!J53*$M$1)</f>
        <v>0.25600000000000001</v>
      </c>
      <c r="L53" s="106">
        <f t="shared" si="3"/>
        <v>6.4000000000000001E-2</v>
      </c>
      <c r="M53" s="30">
        <f t="shared" si="12"/>
        <v>0.30969760166840454</v>
      </c>
      <c r="N53" s="30">
        <f t="shared" si="9"/>
        <v>1.3096976016684045</v>
      </c>
      <c r="O53" s="106">
        <f t="shared" si="13"/>
        <v>1.22</v>
      </c>
      <c r="P53" s="106">
        <f t="shared" si="14"/>
        <v>5.5E-2</v>
      </c>
      <c r="Q53" s="106">
        <f t="shared" si="7"/>
        <v>0.22</v>
      </c>
      <c r="R53" s="26"/>
      <c r="S53" s="28"/>
      <c r="AG53" s="64"/>
    </row>
    <row r="54" spans="1:33" x14ac:dyDescent="0.35">
      <c r="A54" s="22">
        <v>1934</v>
      </c>
      <c r="B54" s="22"/>
      <c r="C54" s="22"/>
      <c r="D54" s="43">
        <f>'Consolidated underlying data'!E54</f>
        <v>3.3000000000000002E-2</v>
      </c>
      <c r="E54" s="47">
        <f t="shared" si="0"/>
        <v>8.2500000000000004E-3</v>
      </c>
      <c r="F54" s="43">
        <f>'Consolidated underlying data'!F54</f>
        <v>2.8000000000000001E-2</v>
      </c>
      <c r="G54" s="23">
        <f>'Consolidated underlying data'!B54</f>
        <v>0.23200000000000001</v>
      </c>
      <c r="H54" s="24">
        <f t="shared" si="10"/>
        <v>0.19844357976653693</v>
      </c>
      <c r="I54" s="24">
        <f t="shared" si="8"/>
        <v>1.1984435797665369</v>
      </c>
      <c r="J54" s="25">
        <f t="shared" si="11"/>
        <v>1.1990000000000001</v>
      </c>
      <c r="K54" s="23">
        <f>('Consolidated underlying data'!B54+'Consolidated underlying data'!J54*$M$1)</f>
        <v>0.23200000000000001</v>
      </c>
      <c r="L54" s="106">
        <f t="shared" si="3"/>
        <v>5.8000000000000003E-2</v>
      </c>
      <c r="M54" s="30">
        <f t="shared" si="12"/>
        <v>0.19844357976653693</v>
      </c>
      <c r="N54" s="30">
        <f t="shared" si="9"/>
        <v>1.1984435797665369</v>
      </c>
      <c r="O54" s="106">
        <f t="shared" si="13"/>
        <v>1.1990000000000001</v>
      </c>
      <c r="P54" s="106">
        <f t="shared" si="14"/>
        <v>4.9750000000000003E-2</v>
      </c>
      <c r="Q54" s="106">
        <f t="shared" si="7"/>
        <v>0.19900000000000001</v>
      </c>
      <c r="R54" s="26"/>
      <c r="S54" s="28"/>
      <c r="AG54" s="64"/>
    </row>
    <row r="55" spans="1:33" x14ac:dyDescent="0.35">
      <c r="A55" s="22">
        <v>1935</v>
      </c>
      <c r="B55" s="22"/>
      <c r="C55" s="22"/>
      <c r="D55" s="43">
        <f>'Consolidated underlying data'!E55</f>
        <v>3.6999999999999998E-2</v>
      </c>
      <c r="E55" s="47">
        <f t="shared" si="0"/>
        <v>9.2499999999999995E-3</v>
      </c>
      <c r="F55" s="43">
        <f>'Consolidated underlying data'!F55</f>
        <v>1.4E-2</v>
      </c>
      <c r="G55" s="23">
        <f>'Consolidated underlying data'!B55</f>
        <v>0.10100000000000001</v>
      </c>
      <c r="H55" s="24">
        <f t="shared" si="10"/>
        <v>8.579881656804722E-2</v>
      </c>
      <c r="I55" s="24">
        <f t="shared" si="8"/>
        <v>1.0857988165680472</v>
      </c>
      <c r="J55" s="25">
        <f t="shared" si="11"/>
        <v>1.0640000000000001</v>
      </c>
      <c r="K55" s="23">
        <f>('Consolidated underlying data'!B55+'Consolidated underlying data'!J55*$M$1)</f>
        <v>0.10100000000000001</v>
      </c>
      <c r="L55" s="106">
        <f t="shared" si="3"/>
        <v>2.5250000000000002E-2</v>
      </c>
      <c r="M55" s="30">
        <f t="shared" si="12"/>
        <v>8.579881656804722E-2</v>
      </c>
      <c r="N55" s="30">
        <f t="shared" si="9"/>
        <v>1.0857988165680472</v>
      </c>
      <c r="O55" s="106">
        <f t="shared" si="13"/>
        <v>1.0640000000000001</v>
      </c>
      <c r="P55" s="106">
        <f t="shared" si="14"/>
        <v>1.6E-2</v>
      </c>
      <c r="Q55" s="106">
        <f t="shared" si="7"/>
        <v>6.4000000000000001E-2</v>
      </c>
      <c r="R55" s="26"/>
      <c r="S55" s="28"/>
      <c r="AG55" s="64"/>
    </row>
    <row r="56" spans="1:33" x14ac:dyDescent="0.35">
      <c r="A56" s="22">
        <v>1936</v>
      </c>
      <c r="B56" s="22"/>
      <c r="C56" s="22"/>
      <c r="D56" s="43">
        <f>'Consolidated underlying data'!E56</f>
        <v>0.04</v>
      </c>
      <c r="E56" s="47">
        <f t="shared" si="0"/>
        <v>0.01</v>
      </c>
      <c r="F56" s="43">
        <f>'Consolidated underlying data'!F56</f>
        <v>1.4E-2</v>
      </c>
      <c r="G56" s="23">
        <f>'Consolidated underlying data'!B56</f>
        <v>0.19800000000000001</v>
      </c>
      <c r="H56" s="24">
        <f t="shared" si="10"/>
        <v>0.18145956607495073</v>
      </c>
      <c r="I56" s="24">
        <f t="shared" si="8"/>
        <v>1.1814595660749507</v>
      </c>
      <c r="J56" s="25">
        <f t="shared" si="11"/>
        <v>1.1579999999999999</v>
      </c>
      <c r="K56" s="23">
        <f>('Consolidated underlying data'!B56+'Consolidated underlying data'!J56*$M$1)</f>
        <v>0.19800000000000001</v>
      </c>
      <c r="L56" s="106">
        <f t="shared" si="3"/>
        <v>4.9500000000000002E-2</v>
      </c>
      <c r="M56" s="30">
        <f t="shared" si="12"/>
        <v>0.18145956607495073</v>
      </c>
      <c r="N56" s="30">
        <f t="shared" si="9"/>
        <v>1.1814595660749507</v>
      </c>
      <c r="O56" s="106">
        <f t="shared" si="13"/>
        <v>1.1579999999999999</v>
      </c>
      <c r="P56" s="106">
        <f t="shared" si="14"/>
        <v>3.95E-2</v>
      </c>
      <c r="Q56" s="106">
        <f t="shared" si="7"/>
        <v>0.158</v>
      </c>
      <c r="R56" s="26"/>
      <c r="S56" s="28"/>
      <c r="AG56" s="64"/>
    </row>
    <row r="57" spans="1:33" x14ac:dyDescent="0.35">
      <c r="A57" s="22">
        <v>1937</v>
      </c>
      <c r="B57" s="22"/>
      <c r="C57" s="22"/>
      <c r="D57" s="43">
        <f>'Consolidated underlying data'!E57</f>
        <v>3.6999999999999998E-2</v>
      </c>
      <c r="E57" s="47">
        <f t="shared" si="0"/>
        <v>9.2499999999999995E-3</v>
      </c>
      <c r="F57" s="43">
        <f>'Consolidated underlying data'!F57</f>
        <v>0.04</v>
      </c>
      <c r="G57" s="23">
        <f>'Consolidated underlying data'!B57</f>
        <v>2.4E-2</v>
      </c>
      <c r="H57" s="24">
        <f t="shared" si="10"/>
        <v>-1.5384615384615441E-2</v>
      </c>
      <c r="I57" s="24">
        <f t="shared" si="8"/>
        <v>0.98461538461538456</v>
      </c>
      <c r="J57" s="25">
        <f t="shared" si="11"/>
        <v>0.98699999999999999</v>
      </c>
      <c r="K57" s="23">
        <f>('Consolidated underlying data'!B57+'Consolidated underlying data'!J57*$M$1)</f>
        <v>2.4E-2</v>
      </c>
      <c r="L57" s="106">
        <f t="shared" si="3"/>
        <v>6.0000000000000001E-3</v>
      </c>
      <c r="M57" s="30">
        <f t="shared" si="12"/>
        <v>-1.5384615384615441E-2</v>
      </c>
      <c r="N57" s="30">
        <f t="shared" si="9"/>
        <v>0.98461538461538456</v>
      </c>
      <c r="O57" s="106">
        <f t="shared" si="13"/>
        <v>0.98699999999999999</v>
      </c>
      <c r="P57" s="106">
        <f t="shared" si="14"/>
        <v>-3.2499999999999994E-3</v>
      </c>
      <c r="Q57" s="106">
        <f t="shared" si="7"/>
        <v>-1.2999999999999998E-2</v>
      </c>
      <c r="R57" s="26"/>
      <c r="S57" s="28"/>
      <c r="AG57" s="64"/>
    </row>
    <row r="58" spans="1:33" x14ac:dyDescent="0.35">
      <c r="A58" s="22">
        <v>1938</v>
      </c>
      <c r="B58" s="22"/>
      <c r="C58" s="22"/>
      <c r="D58" s="43">
        <f>'Consolidated underlying data'!E58</f>
        <v>3.9E-2</v>
      </c>
      <c r="E58" s="47">
        <f t="shared" si="0"/>
        <v>9.75E-3</v>
      </c>
      <c r="F58" s="43">
        <f>'Consolidated underlying data'!F58</f>
        <v>2.5999999999999999E-2</v>
      </c>
      <c r="G58" s="23">
        <f>'Consolidated underlying data'!B58</f>
        <v>-5.0000000000000001E-3</v>
      </c>
      <c r="H58" s="24">
        <f t="shared" si="10"/>
        <v>-3.0214424951267138E-2</v>
      </c>
      <c r="I58" s="24">
        <f t="shared" si="8"/>
        <v>0.96978557504873286</v>
      </c>
      <c r="J58" s="25">
        <f t="shared" si="11"/>
        <v>0.95599999999999996</v>
      </c>
      <c r="K58" s="23">
        <f>('Consolidated underlying data'!B58+'Consolidated underlying data'!J58*$M$1)</f>
        <v>-5.0000000000000001E-3</v>
      </c>
      <c r="L58" s="106">
        <f t="shared" si="3"/>
        <v>-1.25E-3</v>
      </c>
      <c r="M58" s="30">
        <f t="shared" si="12"/>
        <v>-3.0214424951267138E-2</v>
      </c>
      <c r="N58" s="30">
        <f t="shared" si="9"/>
        <v>0.96978557504873286</v>
      </c>
      <c r="O58" s="106">
        <f t="shared" si="13"/>
        <v>0.95599999999999996</v>
      </c>
      <c r="P58" s="106">
        <f t="shared" si="14"/>
        <v>-1.0999999999999999E-2</v>
      </c>
      <c r="Q58" s="106">
        <f t="shared" si="7"/>
        <v>-4.3999999999999997E-2</v>
      </c>
      <c r="R58" s="26"/>
      <c r="S58" s="28"/>
      <c r="AG58" s="64"/>
    </row>
    <row r="59" spans="1:33" x14ac:dyDescent="0.35">
      <c r="A59" s="22">
        <v>1939</v>
      </c>
      <c r="B59" s="22"/>
      <c r="C59" s="22"/>
      <c r="D59" s="43">
        <f>'Consolidated underlying data'!E59</f>
        <v>3.7999999999999999E-2</v>
      </c>
      <c r="E59" s="47">
        <f t="shared" si="0"/>
        <v>9.4999999999999998E-3</v>
      </c>
      <c r="F59" s="43">
        <f>'Consolidated underlying data'!F59</f>
        <v>2.5000000000000001E-2</v>
      </c>
      <c r="G59" s="23">
        <f>'Consolidated underlying data'!B59</f>
        <v>5.2999999999999999E-2</v>
      </c>
      <c r="H59" s="24">
        <f t="shared" si="10"/>
        <v>2.7317073170731732E-2</v>
      </c>
      <c r="I59" s="24">
        <f t="shared" si="8"/>
        <v>1.0273170731707317</v>
      </c>
      <c r="J59" s="25">
        <f t="shared" si="11"/>
        <v>1.0149999999999999</v>
      </c>
      <c r="K59" s="23">
        <f>('Consolidated underlying data'!B59+'Consolidated underlying data'!J59*$M$1)</f>
        <v>5.2999999999999999E-2</v>
      </c>
      <c r="L59" s="106">
        <f t="shared" si="3"/>
        <v>1.325E-2</v>
      </c>
      <c r="M59" s="30">
        <f t="shared" si="12"/>
        <v>2.7317073170731732E-2</v>
      </c>
      <c r="N59" s="30">
        <f t="shared" si="9"/>
        <v>1.0273170731707317</v>
      </c>
      <c r="O59" s="106">
        <f t="shared" si="13"/>
        <v>1.0149999999999999</v>
      </c>
      <c r="P59" s="106">
        <f t="shared" si="14"/>
        <v>3.7499999999999999E-3</v>
      </c>
      <c r="Q59" s="106">
        <f t="shared" si="7"/>
        <v>1.4999999999999999E-2</v>
      </c>
      <c r="R59" s="26"/>
      <c r="S59" s="28"/>
      <c r="AG59" s="64"/>
    </row>
    <row r="60" spans="1:33" x14ac:dyDescent="0.35">
      <c r="A60" s="22">
        <v>1940</v>
      </c>
      <c r="B60" s="22"/>
      <c r="C60" s="22"/>
      <c r="D60" s="43">
        <f>'Consolidated underlying data'!E60</f>
        <v>3.1E-2</v>
      </c>
      <c r="E60" s="47">
        <f t="shared" si="0"/>
        <v>7.7499999999999999E-3</v>
      </c>
      <c r="F60" s="43">
        <f>'Consolidated underlying data'!F60</f>
        <v>3.6999999999999998E-2</v>
      </c>
      <c r="G60" s="23">
        <f>'Consolidated underlying data'!B60</f>
        <v>3.5000000000000003E-2</v>
      </c>
      <c r="H60" s="24">
        <f t="shared" si="10"/>
        <v>-1.9286403085824189E-3</v>
      </c>
      <c r="I60" s="24">
        <f t="shared" si="8"/>
        <v>0.99807135969141758</v>
      </c>
      <c r="J60" s="25">
        <f t="shared" si="11"/>
        <v>1.004</v>
      </c>
      <c r="K60" s="23">
        <f>('Consolidated underlying data'!B60+'Consolidated underlying data'!J60*$M$1)</f>
        <v>3.5000000000000003E-2</v>
      </c>
      <c r="L60" s="106">
        <f t="shared" si="3"/>
        <v>8.7500000000000008E-3</v>
      </c>
      <c r="M60" s="30">
        <f t="shared" si="12"/>
        <v>-1.9286403085824189E-3</v>
      </c>
      <c r="N60" s="30">
        <f t="shared" si="9"/>
        <v>0.99807135969141758</v>
      </c>
      <c r="O60" s="106">
        <f t="shared" si="13"/>
        <v>1.004</v>
      </c>
      <c r="P60" s="106">
        <f t="shared" si="14"/>
        <v>1.0000000000000009E-3</v>
      </c>
      <c r="Q60" s="106">
        <f t="shared" si="7"/>
        <v>4.0000000000000036E-3</v>
      </c>
      <c r="R60" s="26"/>
      <c r="S60" s="28"/>
      <c r="AG60" s="64"/>
    </row>
    <row r="61" spans="1:33" x14ac:dyDescent="0.35">
      <c r="A61" s="22">
        <v>1941</v>
      </c>
      <c r="B61" s="22"/>
      <c r="C61" s="22"/>
      <c r="D61" s="43">
        <f>'Consolidated underlying data'!E61</f>
        <v>3.3000000000000002E-2</v>
      </c>
      <c r="E61" s="47">
        <f t="shared" si="0"/>
        <v>8.2500000000000004E-3</v>
      </c>
      <c r="F61" s="43">
        <f>'Consolidated underlying data'!F61</f>
        <v>4.7E-2</v>
      </c>
      <c r="G61" s="23">
        <f>'Consolidated underlying data'!B61</f>
        <v>-5.5E-2</v>
      </c>
      <c r="H61" s="24">
        <f t="shared" si="10"/>
        <v>-9.7421203438395443E-2</v>
      </c>
      <c r="I61" s="24">
        <f t="shared" si="8"/>
        <v>0.90257879656160456</v>
      </c>
      <c r="J61" s="25">
        <f t="shared" si="11"/>
        <v>0.91200000000000003</v>
      </c>
      <c r="K61" s="23">
        <f>('Consolidated underlying data'!B61+'Consolidated underlying data'!J61*$M$1)</f>
        <v>-5.5E-2</v>
      </c>
      <c r="L61" s="106">
        <f t="shared" si="3"/>
        <v>-1.375E-2</v>
      </c>
      <c r="M61" s="30">
        <f t="shared" si="12"/>
        <v>-9.7421203438395443E-2</v>
      </c>
      <c r="N61" s="30">
        <f t="shared" si="9"/>
        <v>0.90257879656160456</v>
      </c>
      <c r="O61" s="106">
        <f t="shared" si="13"/>
        <v>0.91200000000000003</v>
      </c>
      <c r="P61" s="106">
        <f t="shared" si="14"/>
        <v>-2.1999999999999999E-2</v>
      </c>
      <c r="Q61" s="106">
        <f t="shared" si="7"/>
        <v>-8.7999999999999995E-2</v>
      </c>
      <c r="R61" s="26"/>
      <c r="S61" s="28"/>
      <c r="AG61" s="64"/>
    </row>
    <row r="62" spans="1:33" x14ac:dyDescent="0.35">
      <c r="A62" s="22">
        <v>1942</v>
      </c>
      <c r="B62" s="22"/>
      <c r="C62" s="22"/>
      <c r="D62" s="43">
        <f>'Consolidated underlying data'!E62</f>
        <v>3.2000000000000001E-2</v>
      </c>
      <c r="E62" s="47">
        <f t="shared" si="0"/>
        <v>8.0000000000000002E-3</v>
      </c>
      <c r="F62" s="43">
        <f>'Consolidated underlying data'!F62</f>
        <v>0.09</v>
      </c>
      <c r="G62" s="23">
        <f>'Consolidated underlying data'!B62</f>
        <v>0.184</v>
      </c>
      <c r="H62" s="24">
        <f t="shared" si="10"/>
        <v>8.6238532110091581E-2</v>
      </c>
      <c r="I62" s="24">
        <f t="shared" si="8"/>
        <v>1.0862385321100916</v>
      </c>
      <c r="J62" s="25">
        <f t="shared" si="11"/>
        <v>1.1519999999999999</v>
      </c>
      <c r="K62" s="23">
        <f>('Consolidated underlying data'!B62+'Consolidated underlying data'!J62*$M$1)</f>
        <v>0.184</v>
      </c>
      <c r="L62" s="106">
        <f t="shared" si="3"/>
        <v>4.5999999999999999E-2</v>
      </c>
      <c r="M62" s="30">
        <f t="shared" si="12"/>
        <v>8.6238532110091581E-2</v>
      </c>
      <c r="N62" s="30">
        <f t="shared" si="9"/>
        <v>1.0862385321100916</v>
      </c>
      <c r="O62" s="106">
        <f t="shared" si="13"/>
        <v>1.1519999999999999</v>
      </c>
      <c r="P62" s="106">
        <f t="shared" si="14"/>
        <v>3.7999999999999999E-2</v>
      </c>
      <c r="Q62" s="106">
        <f t="shared" si="7"/>
        <v>0.152</v>
      </c>
      <c r="R62" s="26"/>
      <c r="S62" s="28"/>
      <c r="AG62" s="64"/>
    </row>
    <row r="63" spans="1:33" x14ac:dyDescent="0.35">
      <c r="A63" s="22">
        <v>1943</v>
      </c>
      <c r="B63" s="22"/>
      <c r="C63" s="22"/>
      <c r="D63" s="43">
        <f>'Consolidated underlying data'!E63</f>
        <v>3.2000000000000001E-2</v>
      </c>
      <c r="E63" s="47">
        <f t="shared" si="0"/>
        <v>8.0000000000000002E-3</v>
      </c>
      <c r="F63" s="43">
        <f>'Consolidated underlying data'!F63</f>
        <v>4.1000000000000002E-2</v>
      </c>
      <c r="G63" s="23">
        <f>'Consolidated underlying data'!B63</f>
        <v>8.8999999999999996E-2</v>
      </c>
      <c r="H63" s="24">
        <f t="shared" si="10"/>
        <v>4.6109510086455474E-2</v>
      </c>
      <c r="I63" s="24">
        <f t="shared" si="8"/>
        <v>1.0461095100864555</v>
      </c>
      <c r="J63" s="25">
        <f t="shared" si="11"/>
        <v>1.0569999999999999</v>
      </c>
      <c r="K63" s="23">
        <f>('Consolidated underlying data'!B63+'Consolidated underlying data'!J63*$M$1)</f>
        <v>8.8999999999999996E-2</v>
      </c>
      <c r="L63" s="106">
        <f t="shared" si="3"/>
        <v>2.2249999999999999E-2</v>
      </c>
      <c r="M63" s="30">
        <f t="shared" si="12"/>
        <v>4.6109510086455474E-2</v>
      </c>
      <c r="N63" s="30">
        <f t="shared" si="9"/>
        <v>1.0461095100864555</v>
      </c>
      <c r="O63" s="106">
        <f t="shared" si="13"/>
        <v>1.0569999999999999</v>
      </c>
      <c r="P63" s="106">
        <f t="shared" si="14"/>
        <v>1.4249999999999999E-2</v>
      </c>
      <c r="Q63" s="106">
        <f t="shared" si="7"/>
        <v>5.6999999999999995E-2</v>
      </c>
      <c r="R63" s="26"/>
      <c r="S63" s="28"/>
      <c r="AG63" s="64"/>
    </row>
    <row r="64" spans="1:33" x14ac:dyDescent="0.35">
      <c r="A64" s="22">
        <v>1944</v>
      </c>
      <c r="B64" s="22"/>
      <c r="C64" s="22"/>
      <c r="D64" s="43">
        <f>'Consolidated underlying data'!E64</f>
        <v>3.2000000000000001E-2</v>
      </c>
      <c r="E64" s="47">
        <f t="shared" si="0"/>
        <v>8.0000000000000002E-3</v>
      </c>
      <c r="F64" s="43">
        <f>'Consolidated underlying data'!F64</f>
        <v>-0.01</v>
      </c>
      <c r="G64" s="23">
        <f>'Consolidated underlying data'!B64</f>
        <v>0.08</v>
      </c>
      <c r="H64" s="24">
        <f t="shared" si="10"/>
        <v>9.090909090909105E-2</v>
      </c>
      <c r="I64" s="24">
        <f t="shared" si="8"/>
        <v>1.0909090909090911</v>
      </c>
      <c r="J64" s="25">
        <f t="shared" si="11"/>
        <v>1.048</v>
      </c>
      <c r="K64" s="23">
        <f>('Consolidated underlying data'!B64+'Consolidated underlying data'!J64*$M$1)</f>
        <v>0.08</v>
      </c>
      <c r="L64" s="106">
        <f t="shared" si="3"/>
        <v>0.02</v>
      </c>
      <c r="M64" s="30">
        <f t="shared" si="12"/>
        <v>9.090909090909105E-2</v>
      </c>
      <c r="N64" s="30">
        <f t="shared" si="9"/>
        <v>1.0909090909090911</v>
      </c>
      <c r="O64" s="106">
        <f t="shared" si="13"/>
        <v>1.048</v>
      </c>
      <c r="P64" s="106">
        <f t="shared" si="14"/>
        <v>1.2E-2</v>
      </c>
      <c r="Q64" s="106">
        <f t="shared" si="7"/>
        <v>4.8000000000000001E-2</v>
      </c>
      <c r="R64" s="26"/>
      <c r="S64" s="28"/>
      <c r="AG64" s="64"/>
    </row>
    <row r="65" spans="1:33" x14ac:dyDescent="0.35">
      <c r="A65" s="22">
        <v>1945</v>
      </c>
      <c r="B65" s="22"/>
      <c r="C65" s="22"/>
      <c r="D65" s="43">
        <f>'Consolidated underlying data'!E65</f>
        <v>3.3000000000000002E-2</v>
      </c>
      <c r="E65" s="47">
        <f t="shared" si="0"/>
        <v>8.2500000000000004E-3</v>
      </c>
      <c r="F65" s="43">
        <f>'Consolidated underlying data'!F65</f>
        <v>0</v>
      </c>
      <c r="G65" s="23">
        <f>'Consolidated underlying data'!B65</f>
        <v>0.14099999999999999</v>
      </c>
      <c r="H65" s="24">
        <f t="shared" si="10"/>
        <v>0.14100000000000001</v>
      </c>
      <c r="I65" s="24">
        <f t="shared" si="8"/>
        <v>1.141</v>
      </c>
      <c r="J65" s="25">
        <f t="shared" si="11"/>
        <v>1.1080000000000001</v>
      </c>
      <c r="K65" s="23">
        <f>('Consolidated underlying data'!B65+'Consolidated underlying data'!J65*$M$1)</f>
        <v>0.14099999999999999</v>
      </c>
      <c r="L65" s="106">
        <f t="shared" si="3"/>
        <v>3.5249999999999997E-2</v>
      </c>
      <c r="M65" s="30">
        <f t="shared" si="12"/>
        <v>0.14100000000000001</v>
      </c>
      <c r="N65" s="30">
        <f t="shared" si="9"/>
        <v>1.141</v>
      </c>
      <c r="O65" s="106">
        <f t="shared" si="13"/>
        <v>1.1080000000000001</v>
      </c>
      <c r="P65" s="106">
        <f t="shared" si="14"/>
        <v>2.6999999999999996E-2</v>
      </c>
      <c r="Q65" s="106">
        <f t="shared" si="7"/>
        <v>0.10799999999999998</v>
      </c>
      <c r="R65" s="26"/>
      <c r="S65" s="28"/>
      <c r="AG65" s="64"/>
    </row>
    <row r="66" spans="1:33" x14ac:dyDescent="0.35">
      <c r="A66" s="22">
        <v>1946</v>
      </c>
      <c r="B66" s="22"/>
      <c r="C66" s="22"/>
      <c r="D66" s="43">
        <f>'Consolidated underlying data'!E66</f>
        <v>3.2000000000000001E-2</v>
      </c>
      <c r="E66" s="47">
        <f t="shared" si="0"/>
        <v>8.0000000000000002E-3</v>
      </c>
      <c r="F66" s="43">
        <f>'Consolidated underlying data'!F66</f>
        <v>0.02</v>
      </c>
      <c r="G66" s="23">
        <f>'Consolidated underlying data'!B66</f>
        <v>0.13300000000000001</v>
      </c>
      <c r="H66" s="24">
        <f t="shared" si="10"/>
        <v>0.11078431372549025</v>
      </c>
      <c r="I66" s="24">
        <f t="shared" si="8"/>
        <v>1.1107843137254902</v>
      </c>
      <c r="J66" s="25">
        <f t="shared" si="11"/>
        <v>1.101</v>
      </c>
      <c r="K66" s="23">
        <f>('Consolidated underlying data'!B66+'Consolidated underlying data'!J66*$M$1)</f>
        <v>0.13300000000000001</v>
      </c>
      <c r="L66" s="106">
        <f t="shared" si="3"/>
        <v>3.3250000000000002E-2</v>
      </c>
      <c r="M66" s="30">
        <f t="shared" si="12"/>
        <v>0.11078431372549025</v>
      </c>
      <c r="N66" s="30">
        <f t="shared" si="9"/>
        <v>1.1107843137254902</v>
      </c>
      <c r="O66" s="106">
        <f t="shared" si="13"/>
        <v>1.101</v>
      </c>
      <c r="P66" s="106">
        <f t="shared" si="14"/>
        <v>2.5250000000000002E-2</v>
      </c>
      <c r="Q66" s="106">
        <f t="shared" si="7"/>
        <v>0.10100000000000001</v>
      </c>
      <c r="R66" s="26"/>
      <c r="S66" s="28"/>
      <c r="AG66" s="64"/>
    </row>
    <row r="67" spans="1:33" x14ac:dyDescent="0.35">
      <c r="A67" s="22">
        <v>1947</v>
      </c>
      <c r="B67" s="22"/>
      <c r="C67" s="22"/>
      <c r="D67" s="43">
        <f>'Consolidated underlying data'!E67</f>
        <v>3.2000000000000001E-2</v>
      </c>
      <c r="E67" s="47">
        <f t="shared" ref="E67:E93" si="15">D67/4</f>
        <v>8.0000000000000002E-3</v>
      </c>
      <c r="F67" s="43">
        <f>'Consolidated underlying data'!F67</f>
        <v>3.9E-2</v>
      </c>
      <c r="G67" s="23">
        <f>'Consolidated underlying data'!B67</f>
        <v>0.16600000000000001</v>
      </c>
      <c r="H67" s="24">
        <f t="shared" ref="H67:H98" si="16">(1+G67)/(1+F67)-1</f>
        <v>0.12223291626564015</v>
      </c>
      <c r="I67" s="24">
        <f t="shared" si="8"/>
        <v>1.1222329162656401</v>
      </c>
      <c r="J67" s="25">
        <f t="shared" ref="J67:J98" si="17">(G67-D67)+1</f>
        <v>1.1339999999999999</v>
      </c>
      <c r="K67" s="23">
        <f>('Consolidated underlying data'!B67+'Consolidated underlying data'!J67*$M$1)</f>
        <v>0.16600000000000001</v>
      </c>
      <c r="L67" s="106">
        <f t="shared" ref="L67:L130" si="18">K67/4</f>
        <v>4.1500000000000002E-2</v>
      </c>
      <c r="M67" s="30">
        <f t="shared" ref="M67:M98" si="19">(1+K67)/(1+F67)-1</f>
        <v>0.12223291626564015</v>
      </c>
      <c r="N67" s="30">
        <f t="shared" si="9"/>
        <v>1.1222329162656401</v>
      </c>
      <c r="O67" s="106">
        <f t="shared" ref="O67:O98" si="20">(K67-D67)+1</f>
        <v>1.1339999999999999</v>
      </c>
      <c r="P67" s="106">
        <f t="shared" ref="P67:P98" si="21">(L67-E67)</f>
        <v>3.3500000000000002E-2</v>
      </c>
      <c r="Q67" s="106">
        <f t="shared" ref="Q67:Q130" si="22">P67*4</f>
        <v>0.13400000000000001</v>
      </c>
      <c r="R67" s="26"/>
      <c r="S67" s="28"/>
      <c r="AG67" s="64"/>
    </row>
    <row r="68" spans="1:33" x14ac:dyDescent="0.35">
      <c r="A68" s="22">
        <v>1948</v>
      </c>
      <c r="B68" s="22"/>
      <c r="C68" s="22"/>
      <c r="D68" s="43">
        <f>'Consolidated underlying data'!E68</f>
        <v>3.1E-2</v>
      </c>
      <c r="E68" s="47">
        <f t="shared" si="15"/>
        <v>7.7499999999999999E-3</v>
      </c>
      <c r="F68" s="43">
        <f>'Consolidated underlying data'!F68</f>
        <v>0.104</v>
      </c>
      <c r="G68" s="23">
        <f>'Consolidated underlying data'!B68</f>
        <v>2.4E-2</v>
      </c>
      <c r="H68" s="24">
        <f t="shared" si="16"/>
        <v>-7.2463768115942129E-2</v>
      </c>
      <c r="I68" s="24">
        <f t="shared" ref="I68:I131" si="23">1+H68</f>
        <v>0.92753623188405787</v>
      </c>
      <c r="J68" s="25">
        <f t="shared" si="17"/>
        <v>0.99299999999999999</v>
      </c>
      <c r="K68" s="23">
        <f>('Consolidated underlying data'!B68+'Consolidated underlying data'!J68*$M$1)</f>
        <v>2.4E-2</v>
      </c>
      <c r="L68" s="106">
        <f t="shared" si="18"/>
        <v>6.0000000000000001E-3</v>
      </c>
      <c r="M68" s="30">
        <f t="shared" si="19"/>
        <v>-7.2463768115942129E-2</v>
      </c>
      <c r="N68" s="30">
        <f t="shared" ref="N68:N131" si="24">M68+1</f>
        <v>0.92753623188405787</v>
      </c>
      <c r="O68" s="106">
        <f t="shared" si="20"/>
        <v>0.99299999999999999</v>
      </c>
      <c r="P68" s="106">
        <f t="shared" si="21"/>
        <v>-1.7499999999999998E-3</v>
      </c>
      <c r="Q68" s="106">
        <f t="shared" si="22"/>
        <v>-6.9999999999999993E-3</v>
      </c>
      <c r="R68" s="26"/>
      <c r="S68" s="28"/>
      <c r="AG68" s="64"/>
    </row>
    <row r="69" spans="1:33" x14ac:dyDescent="0.35">
      <c r="A69" s="22">
        <v>1949</v>
      </c>
      <c r="B69" s="22"/>
      <c r="C69" s="22"/>
      <c r="D69" s="43">
        <f>'Consolidated underlying data'!E69</f>
        <v>3.1E-2</v>
      </c>
      <c r="E69" s="47">
        <f t="shared" si="15"/>
        <v>7.7499999999999999E-3</v>
      </c>
      <c r="F69" s="43">
        <f>'Consolidated underlying data'!F69</f>
        <v>8.7999999999999995E-2</v>
      </c>
      <c r="G69" s="23">
        <f>'Consolidated underlying data'!B69</f>
        <v>8.1000000000000003E-2</v>
      </c>
      <c r="H69" s="24">
        <f t="shared" si="16"/>
        <v>-6.4338235294119084E-3</v>
      </c>
      <c r="I69" s="24">
        <f t="shared" si="23"/>
        <v>0.99356617647058809</v>
      </c>
      <c r="J69" s="25">
        <f t="shared" si="17"/>
        <v>1.05</v>
      </c>
      <c r="K69" s="23">
        <f>('Consolidated underlying data'!B69+'Consolidated underlying data'!J69*$M$1)</f>
        <v>8.1000000000000003E-2</v>
      </c>
      <c r="L69" s="106">
        <f t="shared" si="18"/>
        <v>2.0250000000000001E-2</v>
      </c>
      <c r="M69" s="30">
        <f t="shared" si="19"/>
        <v>-6.4338235294119084E-3</v>
      </c>
      <c r="N69" s="30">
        <f t="shared" si="24"/>
        <v>0.99356617647058809</v>
      </c>
      <c r="O69" s="106">
        <f t="shared" si="20"/>
        <v>1.05</v>
      </c>
      <c r="P69" s="106">
        <f t="shared" si="21"/>
        <v>1.2500000000000001E-2</v>
      </c>
      <c r="Q69" s="106">
        <f t="shared" si="22"/>
        <v>0.05</v>
      </c>
      <c r="R69" s="26"/>
      <c r="S69" s="28"/>
      <c r="AG69" s="64"/>
    </row>
    <row r="70" spans="1:33" x14ac:dyDescent="0.35">
      <c r="A70" s="22">
        <v>1950</v>
      </c>
      <c r="B70" s="22"/>
      <c r="C70" s="22"/>
      <c r="D70" s="43">
        <f>'Consolidated underlying data'!E70</f>
        <v>3.2000000000000001E-2</v>
      </c>
      <c r="E70" s="47">
        <f t="shared" si="15"/>
        <v>8.0000000000000002E-3</v>
      </c>
      <c r="F70" s="43">
        <f>'Consolidated underlying data'!F70</f>
        <v>0.108</v>
      </c>
      <c r="G70" s="23">
        <f>'Consolidated underlying data'!B70</f>
        <v>0.314</v>
      </c>
      <c r="H70" s="24">
        <f t="shared" si="16"/>
        <v>0.1859205776173285</v>
      </c>
      <c r="I70" s="24">
        <f t="shared" si="23"/>
        <v>1.1859205776173285</v>
      </c>
      <c r="J70" s="25">
        <f t="shared" si="17"/>
        <v>1.282</v>
      </c>
      <c r="K70" s="23">
        <f>('Consolidated underlying data'!B70+'Consolidated underlying data'!J70*$M$1)</f>
        <v>0.314</v>
      </c>
      <c r="L70" s="106">
        <f t="shared" si="18"/>
        <v>7.85E-2</v>
      </c>
      <c r="M70" s="30">
        <f t="shared" si="19"/>
        <v>0.1859205776173285</v>
      </c>
      <c r="N70" s="30">
        <f t="shared" si="24"/>
        <v>1.1859205776173285</v>
      </c>
      <c r="O70" s="106">
        <f t="shared" si="20"/>
        <v>1.282</v>
      </c>
      <c r="P70" s="106">
        <f t="shared" si="21"/>
        <v>7.0500000000000007E-2</v>
      </c>
      <c r="Q70" s="106">
        <f t="shared" si="22"/>
        <v>0.28200000000000003</v>
      </c>
      <c r="R70" s="26"/>
      <c r="S70" s="28"/>
      <c r="AG70" s="64"/>
    </row>
    <row r="71" spans="1:33" x14ac:dyDescent="0.35">
      <c r="A71" s="22">
        <v>1951</v>
      </c>
      <c r="B71" s="22"/>
      <c r="C71" s="22"/>
      <c r="D71" s="43">
        <f>'Consolidated underlying data'!E71</f>
        <v>3.7999999999999999E-2</v>
      </c>
      <c r="E71" s="47">
        <f t="shared" si="15"/>
        <v>9.4999999999999998E-3</v>
      </c>
      <c r="F71" s="43">
        <f>'Consolidated underlying data'!F71</f>
        <v>0.25600000000000001</v>
      </c>
      <c r="G71" s="23">
        <f>'Consolidated underlying data'!B71</f>
        <v>-4.5999999999999999E-2</v>
      </c>
      <c r="H71" s="24">
        <f t="shared" si="16"/>
        <v>-0.24044585987261147</v>
      </c>
      <c r="I71" s="24">
        <f t="shared" si="23"/>
        <v>0.75955414012738853</v>
      </c>
      <c r="J71" s="25">
        <f t="shared" si="17"/>
        <v>0.91600000000000004</v>
      </c>
      <c r="K71" s="23">
        <f>('Consolidated underlying data'!B71+'Consolidated underlying data'!J71*$M$1)</f>
        <v>-4.5999999999999999E-2</v>
      </c>
      <c r="L71" s="106">
        <f t="shared" si="18"/>
        <v>-1.15E-2</v>
      </c>
      <c r="M71" s="30">
        <f t="shared" si="19"/>
        <v>-0.24044585987261147</v>
      </c>
      <c r="N71" s="30">
        <f t="shared" si="24"/>
        <v>0.75955414012738853</v>
      </c>
      <c r="O71" s="106">
        <f t="shared" si="20"/>
        <v>0.91600000000000004</v>
      </c>
      <c r="P71" s="106">
        <f t="shared" si="21"/>
        <v>-2.0999999999999998E-2</v>
      </c>
      <c r="Q71" s="106">
        <f t="shared" si="22"/>
        <v>-8.3999999999999991E-2</v>
      </c>
      <c r="R71" s="26"/>
      <c r="S71" s="28"/>
      <c r="AG71" s="64"/>
    </row>
    <row r="72" spans="1:33" x14ac:dyDescent="0.35">
      <c r="A72" s="22">
        <v>1952</v>
      </c>
      <c r="B72" s="22"/>
      <c r="C72" s="22"/>
      <c r="D72" s="43">
        <f>'Consolidated underlying data'!E72</f>
        <v>4.4999999999999998E-2</v>
      </c>
      <c r="E72" s="47">
        <f t="shared" si="15"/>
        <v>1.125E-2</v>
      </c>
      <c r="F72" s="43">
        <f>'Consolidated underlying data'!F72</f>
        <v>9.7000000000000003E-2</v>
      </c>
      <c r="G72" s="23">
        <f>'Consolidated underlying data'!B72</f>
        <v>-0.13300000000000001</v>
      </c>
      <c r="H72" s="24">
        <f t="shared" si="16"/>
        <v>-0.20966271649954416</v>
      </c>
      <c r="I72" s="24">
        <f t="shared" si="23"/>
        <v>0.79033728350045584</v>
      </c>
      <c r="J72" s="25">
        <f t="shared" si="17"/>
        <v>0.82200000000000006</v>
      </c>
      <c r="K72" s="23">
        <f>('Consolidated underlying data'!B72+'Consolidated underlying data'!J72*$M$1)</f>
        <v>-0.13300000000000001</v>
      </c>
      <c r="L72" s="106">
        <f t="shared" si="18"/>
        <v>-3.3250000000000002E-2</v>
      </c>
      <c r="M72" s="30">
        <f t="shared" si="19"/>
        <v>-0.20966271649954416</v>
      </c>
      <c r="N72" s="30">
        <f t="shared" si="24"/>
        <v>0.79033728350045584</v>
      </c>
      <c r="O72" s="106">
        <f t="shared" si="20"/>
        <v>0.82200000000000006</v>
      </c>
      <c r="P72" s="106">
        <f t="shared" si="21"/>
        <v>-4.4499999999999998E-2</v>
      </c>
      <c r="Q72" s="106">
        <f t="shared" si="22"/>
        <v>-0.17799999999999999</v>
      </c>
      <c r="R72" s="26"/>
      <c r="S72" s="28"/>
      <c r="AG72" s="64"/>
    </row>
    <row r="73" spans="1:33" x14ac:dyDescent="0.35">
      <c r="A73" s="22">
        <v>1953</v>
      </c>
      <c r="B73" s="22"/>
      <c r="C73" s="22"/>
      <c r="D73" s="43">
        <f>'Consolidated underlying data'!E73</f>
        <v>4.3999999999999997E-2</v>
      </c>
      <c r="E73" s="47">
        <f t="shared" si="15"/>
        <v>1.0999999999999999E-2</v>
      </c>
      <c r="F73" s="43">
        <f>'Consolidated underlying data'!F73</f>
        <v>1.7999999999999999E-2</v>
      </c>
      <c r="G73" s="23">
        <f>'Consolidated underlying data'!B73</f>
        <v>0.13</v>
      </c>
      <c r="H73" s="24">
        <f t="shared" si="16"/>
        <v>0.11001964636542239</v>
      </c>
      <c r="I73" s="24">
        <f t="shared" si="23"/>
        <v>1.1100196463654224</v>
      </c>
      <c r="J73" s="25">
        <f t="shared" si="17"/>
        <v>1.0860000000000001</v>
      </c>
      <c r="K73" s="23">
        <f>('Consolidated underlying data'!B73+'Consolidated underlying data'!J73*$M$1)</f>
        <v>0.13</v>
      </c>
      <c r="L73" s="106">
        <f t="shared" si="18"/>
        <v>3.2500000000000001E-2</v>
      </c>
      <c r="M73" s="30">
        <f t="shared" si="19"/>
        <v>0.11001964636542239</v>
      </c>
      <c r="N73" s="30">
        <f t="shared" si="24"/>
        <v>1.1100196463654224</v>
      </c>
      <c r="O73" s="106">
        <f t="shared" si="20"/>
        <v>1.0860000000000001</v>
      </c>
      <c r="P73" s="106">
        <f t="shared" si="21"/>
        <v>2.1500000000000002E-2</v>
      </c>
      <c r="Q73" s="106">
        <f t="shared" si="22"/>
        <v>8.6000000000000007E-2</v>
      </c>
      <c r="R73" s="26"/>
      <c r="S73" s="28"/>
      <c r="AG73" s="64"/>
    </row>
    <row r="74" spans="1:33" x14ac:dyDescent="0.35">
      <c r="A74" s="22">
        <v>1954</v>
      </c>
      <c r="B74" s="22"/>
      <c r="C74" s="22"/>
      <c r="D74" s="43">
        <f>'Consolidated underlying data'!E74</f>
        <v>4.4999999999999998E-2</v>
      </c>
      <c r="E74" s="47">
        <f t="shared" si="15"/>
        <v>1.125E-2</v>
      </c>
      <c r="F74" s="43">
        <f>'Consolidated underlying data'!F74</f>
        <v>8.9999999999999993E-3</v>
      </c>
      <c r="G74" s="23">
        <f>'Consolidated underlying data'!B74</f>
        <v>0.186</v>
      </c>
      <c r="H74" s="24">
        <f t="shared" si="16"/>
        <v>0.17542120911793857</v>
      </c>
      <c r="I74" s="24">
        <f t="shared" si="23"/>
        <v>1.1754212091179386</v>
      </c>
      <c r="J74" s="25">
        <f t="shared" si="17"/>
        <v>1.141</v>
      </c>
      <c r="K74" s="23">
        <f>('Consolidated underlying data'!B74+'Consolidated underlying data'!J74*$M$1)</f>
        <v>0.186</v>
      </c>
      <c r="L74" s="106">
        <f t="shared" si="18"/>
        <v>4.65E-2</v>
      </c>
      <c r="M74" s="30">
        <f t="shared" si="19"/>
        <v>0.17542120911793857</v>
      </c>
      <c r="N74" s="30">
        <f t="shared" si="24"/>
        <v>1.1754212091179386</v>
      </c>
      <c r="O74" s="106">
        <f t="shared" si="20"/>
        <v>1.141</v>
      </c>
      <c r="P74" s="106">
        <f t="shared" si="21"/>
        <v>3.5250000000000004E-2</v>
      </c>
      <c r="Q74" s="106">
        <f t="shared" si="22"/>
        <v>0.14100000000000001</v>
      </c>
      <c r="R74" s="26"/>
      <c r="S74" s="28"/>
      <c r="AG74" s="64"/>
    </row>
    <row r="75" spans="1:33" x14ac:dyDescent="0.35">
      <c r="A75" s="22">
        <v>1955</v>
      </c>
      <c r="B75" s="22"/>
      <c r="C75" s="22"/>
      <c r="D75" s="43">
        <f>'Consolidated underlying data'!E75</f>
        <v>4.4999999999999998E-2</v>
      </c>
      <c r="E75" s="47">
        <f t="shared" si="15"/>
        <v>1.125E-2</v>
      </c>
      <c r="F75" s="43">
        <f>'Consolidated underlying data'!F75</f>
        <v>3.4000000000000002E-2</v>
      </c>
      <c r="G75" s="23">
        <f>'Consolidated underlying data'!B75</f>
        <v>0.10299999999999999</v>
      </c>
      <c r="H75" s="24">
        <f t="shared" si="16"/>
        <v>6.6731141199226185E-2</v>
      </c>
      <c r="I75" s="24">
        <f t="shared" si="23"/>
        <v>1.0667311411992262</v>
      </c>
      <c r="J75" s="25">
        <f t="shared" si="17"/>
        <v>1.0580000000000001</v>
      </c>
      <c r="K75" s="23">
        <f>('Consolidated underlying data'!B75+'Consolidated underlying data'!J75*$M$1)</f>
        <v>0.10299999999999999</v>
      </c>
      <c r="L75" s="106">
        <f t="shared" si="18"/>
        <v>2.5749999999999999E-2</v>
      </c>
      <c r="M75" s="30">
        <f t="shared" si="19"/>
        <v>6.6731141199226185E-2</v>
      </c>
      <c r="N75" s="30">
        <f t="shared" si="24"/>
        <v>1.0667311411992262</v>
      </c>
      <c r="O75" s="106">
        <f t="shared" si="20"/>
        <v>1.0580000000000001</v>
      </c>
      <c r="P75" s="106">
        <f t="shared" si="21"/>
        <v>1.4499999999999999E-2</v>
      </c>
      <c r="Q75" s="106">
        <f t="shared" si="22"/>
        <v>5.7999999999999996E-2</v>
      </c>
      <c r="R75" s="26"/>
      <c r="S75" s="28"/>
      <c r="AG75" s="64"/>
    </row>
    <row r="76" spans="1:33" x14ac:dyDescent="0.35">
      <c r="A76" s="22">
        <v>1956</v>
      </c>
      <c r="B76" s="22"/>
      <c r="C76" s="22"/>
      <c r="D76" s="43">
        <f>'Consolidated underlying data'!E76</f>
        <v>5.0999999999999997E-2</v>
      </c>
      <c r="E76" s="47">
        <f t="shared" si="15"/>
        <v>1.2749999999999999E-2</v>
      </c>
      <c r="F76" s="43">
        <f>'Consolidated underlying data'!F76</f>
        <v>6.7000000000000004E-2</v>
      </c>
      <c r="G76" s="23">
        <f>'Consolidated underlying data'!B76</f>
        <v>7.6999999999999999E-2</v>
      </c>
      <c r="H76" s="24">
        <f t="shared" si="16"/>
        <v>9.3720712277414187E-3</v>
      </c>
      <c r="I76" s="24">
        <f t="shared" si="23"/>
        <v>1.0093720712277414</v>
      </c>
      <c r="J76" s="25">
        <f t="shared" si="17"/>
        <v>1.026</v>
      </c>
      <c r="K76" s="23">
        <f>('Consolidated underlying data'!B76+'Consolidated underlying data'!J76*$M$1)</f>
        <v>7.6999999999999999E-2</v>
      </c>
      <c r="L76" s="106">
        <f t="shared" si="18"/>
        <v>1.925E-2</v>
      </c>
      <c r="M76" s="30">
        <f t="shared" si="19"/>
        <v>9.3720712277414187E-3</v>
      </c>
      <c r="N76" s="30">
        <f t="shared" si="24"/>
        <v>1.0093720712277414</v>
      </c>
      <c r="O76" s="106">
        <f t="shared" si="20"/>
        <v>1.026</v>
      </c>
      <c r="P76" s="106">
        <f t="shared" si="21"/>
        <v>6.5000000000000006E-3</v>
      </c>
      <c r="Q76" s="106">
        <f t="shared" si="22"/>
        <v>2.6000000000000002E-2</v>
      </c>
      <c r="R76" s="26"/>
      <c r="S76" s="28"/>
      <c r="AG76" s="64"/>
    </row>
    <row r="77" spans="1:33" x14ac:dyDescent="0.35">
      <c r="A77" s="22">
        <v>1957</v>
      </c>
      <c r="B77" s="22"/>
      <c r="C77" s="22"/>
      <c r="D77" s="43">
        <f>'Consolidated underlying data'!E77</f>
        <v>0.05</v>
      </c>
      <c r="E77" s="47">
        <f t="shared" si="15"/>
        <v>1.2500000000000001E-2</v>
      </c>
      <c r="F77" s="43">
        <f>'Consolidated underlying data'!F77</f>
        <v>8.0000000000000002E-3</v>
      </c>
      <c r="G77" s="23">
        <f>'Consolidated underlying data'!B77</f>
        <v>0.16700000000000001</v>
      </c>
      <c r="H77" s="24">
        <f t="shared" si="16"/>
        <v>0.15773809523809534</v>
      </c>
      <c r="I77" s="24">
        <f t="shared" si="23"/>
        <v>1.1577380952380953</v>
      </c>
      <c r="J77" s="25">
        <f t="shared" si="17"/>
        <v>1.117</v>
      </c>
      <c r="K77" s="23">
        <f>('Consolidated underlying data'!B77+'Consolidated underlying data'!J77*$M$1)</f>
        <v>0.16700000000000001</v>
      </c>
      <c r="L77" s="106">
        <f t="shared" si="18"/>
        <v>4.1750000000000002E-2</v>
      </c>
      <c r="M77" s="30">
        <f t="shared" si="19"/>
        <v>0.15773809523809534</v>
      </c>
      <c r="N77" s="30">
        <f t="shared" si="24"/>
        <v>1.1577380952380953</v>
      </c>
      <c r="O77" s="106">
        <f t="shared" si="20"/>
        <v>1.117</v>
      </c>
      <c r="P77" s="106">
        <f t="shared" si="21"/>
        <v>2.9250000000000002E-2</v>
      </c>
      <c r="Q77" s="106">
        <f t="shared" si="22"/>
        <v>0.11700000000000001</v>
      </c>
      <c r="R77" s="26"/>
      <c r="S77" s="28"/>
      <c r="AG77" s="64"/>
    </row>
    <row r="78" spans="1:33" x14ac:dyDescent="0.35">
      <c r="A78" s="22">
        <v>1958</v>
      </c>
      <c r="B78" s="22"/>
      <c r="C78" s="22"/>
      <c r="D78" s="43">
        <f>'Consolidated underlying data'!E78</f>
        <v>4.9000000000000002E-2</v>
      </c>
      <c r="E78" s="47">
        <f t="shared" si="15"/>
        <v>1.225E-2</v>
      </c>
      <c r="F78" s="43">
        <f>'Consolidated underlying data'!F78</f>
        <v>1.6E-2</v>
      </c>
      <c r="G78" s="23">
        <f>'Consolidated underlying data'!B78</f>
        <v>0.189</v>
      </c>
      <c r="H78" s="24">
        <f t="shared" si="16"/>
        <v>0.17027559055118124</v>
      </c>
      <c r="I78" s="24">
        <f t="shared" si="23"/>
        <v>1.1702755905511812</v>
      </c>
      <c r="J78" s="25">
        <f t="shared" si="17"/>
        <v>1.1400000000000001</v>
      </c>
      <c r="K78" s="23">
        <f>('Consolidated underlying data'!B78+'Consolidated underlying data'!J78*$M$1)</f>
        <v>0.189</v>
      </c>
      <c r="L78" s="106">
        <f t="shared" si="18"/>
        <v>4.725E-2</v>
      </c>
      <c r="M78" s="30">
        <f t="shared" si="19"/>
        <v>0.17027559055118124</v>
      </c>
      <c r="N78" s="30">
        <f t="shared" si="24"/>
        <v>1.1702755905511812</v>
      </c>
      <c r="O78" s="106">
        <f t="shared" si="20"/>
        <v>1.1400000000000001</v>
      </c>
      <c r="P78" s="106">
        <f t="shared" si="21"/>
        <v>3.5000000000000003E-2</v>
      </c>
      <c r="Q78" s="106">
        <f t="shared" si="22"/>
        <v>0.14000000000000001</v>
      </c>
      <c r="R78" s="26"/>
      <c r="S78" s="28"/>
      <c r="Y78" s="61"/>
      <c r="Z78" s="61"/>
      <c r="AA78" s="61"/>
      <c r="AB78" s="38"/>
      <c r="AC78" s="65"/>
      <c r="AE78" s="65"/>
      <c r="AG78" s="64"/>
    </row>
    <row r="79" spans="1:33" x14ac:dyDescent="0.35">
      <c r="A79" s="22">
        <v>1959</v>
      </c>
      <c r="B79" s="22"/>
      <c r="C79" s="22"/>
      <c r="D79" s="43">
        <f>'Consolidated underlying data'!E79</f>
        <v>4.8000000000000001E-2</v>
      </c>
      <c r="E79" s="47">
        <f t="shared" si="15"/>
        <v>1.2E-2</v>
      </c>
      <c r="F79" s="43">
        <f>'Consolidated underlying data'!F79</f>
        <v>2.3E-2</v>
      </c>
      <c r="G79" s="23">
        <f>'Consolidated underlying data'!B79</f>
        <v>0.443</v>
      </c>
      <c r="H79" s="24">
        <f t="shared" si="16"/>
        <v>0.41055718475073322</v>
      </c>
      <c r="I79" s="24">
        <f t="shared" si="23"/>
        <v>1.4105571847507332</v>
      </c>
      <c r="J79" s="25">
        <f t="shared" si="17"/>
        <v>1.395</v>
      </c>
      <c r="K79" s="23">
        <f>('Consolidated underlying data'!B79+'Consolidated underlying data'!J79*$M$1)</f>
        <v>0.443</v>
      </c>
      <c r="L79" s="106">
        <f t="shared" si="18"/>
        <v>0.11075</v>
      </c>
      <c r="M79" s="30">
        <f t="shared" si="19"/>
        <v>0.41055718475073322</v>
      </c>
      <c r="N79" s="30">
        <f t="shared" si="24"/>
        <v>1.4105571847507332</v>
      </c>
      <c r="O79" s="106">
        <f t="shared" si="20"/>
        <v>1.395</v>
      </c>
      <c r="P79" s="106">
        <f t="shared" si="21"/>
        <v>9.8750000000000004E-2</v>
      </c>
      <c r="Q79" s="106">
        <f t="shared" si="22"/>
        <v>0.39500000000000002</v>
      </c>
      <c r="R79" s="26"/>
      <c r="S79" s="28"/>
      <c r="Y79" s="61"/>
      <c r="Z79" s="61"/>
      <c r="AA79" s="61"/>
      <c r="AB79" s="38"/>
      <c r="AC79" s="65"/>
      <c r="AE79" s="65"/>
      <c r="AG79" s="64"/>
    </row>
    <row r="80" spans="1:33" x14ac:dyDescent="0.35">
      <c r="A80" s="22">
        <v>1960</v>
      </c>
      <c r="B80" s="22"/>
      <c r="C80" s="22"/>
      <c r="D80" s="43">
        <f>'Consolidated underlying data'!E80</f>
        <v>5.2999999999999999E-2</v>
      </c>
      <c r="E80" s="47">
        <f t="shared" si="15"/>
        <v>1.325E-2</v>
      </c>
      <c r="F80" s="43">
        <f>'Consolidated underlying data'!F80</f>
        <v>4.4999999999999998E-2</v>
      </c>
      <c r="G80" s="23">
        <f>'Consolidated underlying data'!B80</f>
        <v>-6.2E-2</v>
      </c>
      <c r="H80" s="24">
        <f t="shared" si="16"/>
        <v>-0.1023923444976077</v>
      </c>
      <c r="I80" s="24">
        <f t="shared" si="23"/>
        <v>0.8976076555023923</v>
      </c>
      <c r="J80" s="25">
        <f t="shared" si="17"/>
        <v>0.88500000000000001</v>
      </c>
      <c r="K80" s="23">
        <f>('Consolidated underlying data'!B80+'Consolidated underlying data'!J80*$M$1)</f>
        <v>-6.2E-2</v>
      </c>
      <c r="L80" s="106">
        <f t="shared" si="18"/>
        <v>-1.55E-2</v>
      </c>
      <c r="M80" s="30">
        <f t="shared" si="19"/>
        <v>-0.1023923444976077</v>
      </c>
      <c r="N80" s="30">
        <f t="shared" si="24"/>
        <v>0.8976076555023923</v>
      </c>
      <c r="O80" s="106">
        <f t="shared" si="20"/>
        <v>0.88500000000000001</v>
      </c>
      <c r="P80" s="106">
        <f t="shared" si="21"/>
        <v>-2.8749999999999998E-2</v>
      </c>
      <c r="Q80" s="106">
        <f t="shared" si="22"/>
        <v>-0.11499999999999999</v>
      </c>
      <c r="R80" s="26"/>
      <c r="S80" s="28"/>
      <c r="Y80" s="61"/>
      <c r="Z80" s="61"/>
      <c r="AA80" s="61"/>
      <c r="AB80" s="38"/>
      <c r="AC80" s="65"/>
      <c r="AG80" s="64"/>
    </row>
    <row r="81" spans="1:45" x14ac:dyDescent="0.35">
      <c r="A81" s="22">
        <v>1961</v>
      </c>
      <c r="B81" s="22"/>
      <c r="C81" s="22"/>
      <c r="D81" s="43">
        <f>'Consolidated underlying data'!E81</f>
        <v>4.9000000000000002E-2</v>
      </c>
      <c r="E81" s="47">
        <f t="shared" si="15"/>
        <v>1.225E-2</v>
      </c>
      <c r="F81" s="43">
        <f>'Consolidated underlying data'!F81</f>
        <v>7.0000000000000001E-3</v>
      </c>
      <c r="G81" s="23">
        <f>'Consolidated underlying data'!B81</f>
        <v>0.11600000000000001</v>
      </c>
      <c r="H81" s="24">
        <f t="shared" si="16"/>
        <v>0.10824230387288991</v>
      </c>
      <c r="I81" s="24">
        <f t="shared" si="23"/>
        <v>1.1082423038728899</v>
      </c>
      <c r="J81" s="25">
        <f t="shared" si="17"/>
        <v>1.0669999999999999</v>
      </c>
      <c r="K81" s="23">
        <f>('Consolidated underlying data'!B81+'Consolidated underlying data'!J81*$M$1)</f>
        <v>0.11600000000000001</v>
      </c>
      <c r="L81" s="106">
        <f t="shared" si="18"/>
        <v>2.9000000000000001E-2</v>
      </c>
      <c r="M81" s="30">
        <f t="shared" si="19"/>
        <v>0.10824230387288991</v>
      </c>
      <c r="N81" s="30">
        <f t="shared" si="24"/>
        <v>1.1082423038728899</v>
      </c>
      <c r="O81" s="106">
        <f t="shared" si="20"/>
        <v>1.0669999999999999</v>
      </c>
      <c r="P81" s="106">
        <f t="shared" si="21"/>
        <v>1.6750000000000001E-2</v>
      </c>
      <c r="Q81" s="106">
        <f t="shared" si="22"/>
        <v>6.7000000000000004E-2</v>
      </c>
      <c r="R81" s="26"/>
      <c r="S81" s="28"/>
      <c r="Y81" s="61"/>
      <c r="Z81" s="61"/>
      <c r="AA81" s="61"/>
      <c r="AB81" s="38"/>
      <c r="AC81" s="65"/>
      <c r="AG81" s="64"/>
    </row>
    <row r="82" spans="1:45" x14ac:dyDescent="0.35">
      <c r="A82" s="22">
        <v>1962</v>
      </c>
      <c r="B82" s="22"/>
      <c r="C82" s="22"/>
      <c r="D82" s="43">
        <f>'Consolidated underlying data'!E82</f>
        <v>4.7E-2</v>
      </c>
      <c r="E82" s="47">
        <f t="shared" si="15"/>
        <v>1.175E-2</v>
      </c>
      <c r="F82" s="43">
        <f>'Consolidated underlying data'!F82</f>
        <v>0</v>
      </c>
      <c r="G82" s="23">
        <f>'Consolidated underlying data'!B82</f>
        <v>4.2000000000000003E-2</v>
      </c>
      <c r="H82" s="24">
        <f t="shared" si="16"/>
        <v>4.2000000000000037E-2</v>
      </c>
      <c r="I82" s="24">
        <f t="shared" si="23"/>
        <v>1.042</v>
      </c>
      <c r="J82" s="25">
        <f t="shared" si="17"/>
        <v>0.995</v>
      </c>
      <c r="K82" s="23">
        <f>('Consolidated underlying data'!B82+'Consolidated underlying data'!J82*$M$1)</f>
        <v>4.2000000000000003E-2</v>
      </c>
      <c r="L82" s="106">
        <f t="shared" si="18"/>
        <v>1.0500000000000001E-2</v>
      </c>
      <c r="M82" s="30">
        <f t="shared" si="19"/>
        <v>4.2000000000000037E-2</v>
      </c>
      <c r="N82" s="30">
        <f t="shared" si="24"/>
        <v>1.042</v>
      </c>
      <c r="O82" s="106">
        <f t="shared" si="20"/>
        <v>0.995</v>
      </c>
      <c r="P82" s="106">
        <f t="shared" si="21"/>
        <v>-1.2499999999999994E-3</v>
      </c>
      <c r="Q82" s="106">
        <f t="shared" si="22"/>
        <v>-4.9999999999999975E-3</v>
      </c>
      <c r="R82" s="26"/>
      <c r="S82" s="28"/>
      <c r="Y82" s="61"/>
      <c r="Z82" s="61"/>
      <c r="AA82" s="61"/>
      <c r="AB82" s="38"/>
      <c r="AC82" s="65"/>
      <c r="AG82" s="64"/>
    </row>
    <row r="83" spans="1:45" x14ac:dyDescent="0.35">
      <c r="A83" s="22">
        <v>1963</v>
      </c>
      <c r="B83" s="22"/>
      <c r="C83" s="22"/>
      <c r="D83" s="43">
        <f>'Consolidated underlying data'!E83</f>
        <v>4.2999999999999997E-2</v>
      </c>
      <c r="E83" s="47">
        <f t="shared" si="15"/>
        <v>1.0749999999999999E-2</v>
      </c>
      <c r="F83" s="43">
        <f>'Consolidated underlying data'!F83</f>
        <v>7.0000000000000001E-3</v>
      </c>
      <c r="G83" s="23">
        <f>'Consolidated underlying data'!B83</f>
        <v>0.26600000000000001</v>
      </c>
      <c r="H83" s="24">
        <f t="shared" si="16"/>
        <v>0.25719960278053633</v>
      </c>
      <c r="I83" s="24">
        <f t="shared" si="23"/>
        <v>1.2571996027805363</v>
      </c>
      <c r="J83" s="25">
        <f t="shared" si="17"/>
        <v>1.2230000000000001</v>
      </c>
      <c r="K83" s="23">
        <f>('Consolidated underlying data'!B83+'Consolidated underlying data'!J83*$M$1)</f>
        <v>0.26600000000000001</v>
      </c>
      <c r="L83" s="106">
        <f t="shared" si="18"/>
        <v>6.6500000000000004E-2</v>
      </c>
      <c r="M83" s="30">
        <f t="shared" si="19"/>
        <v>0.25719960278053633</v>
      </c>
      <c r="N83" s="30">
        <f t="shared" si="24"/>
        <v>1.2571996027805363</v>
      </c>
      <c r="O83" s="106">
        <f t="shared" si="20"/>
        <v>1.2230000000000001</v>
      </c>
      <c r="P83" s="106">
        <f t="shared" si="21"/>
        <v>5.5750000000000008E-2</v>
      </c>
      <c r="Q83" s="106">
        <f t="shared" si="22"/>
        <v>0.22300000000000003</v>
      </c>
      <c r="R83" s="26"/>
      <c r="S83" s="28"/>
      <c r="Y83" s="61"/>
      <c r="Z83" s="61"/>
      <c r="AA83" s="61"/>
      <c r="AB83" s="38"/>
      <c r="AC83" s="65"/>
      <c r="AG83" s="64"/>
    </row>
    <row r="84" spans="1:45" x14ac:dyDescent="0.35">
      <c r="A84" s="22">
        <v>1964</v>
      </c>
      <c r="B84" s="22"/>
      <c r="C84" s="22"/>
      <c r="D84" s="43">
        <f>'Consolidated underlying data'!E84</f>
        <v>4.8000000000000001E-2</v>
      </c>
      <c r="E84" s="47">
        <f t="shared" si="15"/>
        <v>1.2E-2</v>
      </c>
      <c r="F84" s="43">
        <f>'Consolidated underlying data'!F84</f>
        <v>3.5000000000000003E-2</v>
      </c>
      <c r="G84" s="23">
        <f>'Consolidated underlying data'!B84</f>
        <v>4.3999999999999997E-2</v>
      </c>
      <c r="H84" s="24">
        <f t="shared" si="16"/>
        <v>8.6956521739132153E-3</v>
      </c>
      <c r="I84" s="24">
        <f t="shared" si="23"/>
        <v>1.0086956521739132</v>
      </c>
      <c r="J84" s="25">
        <f t="shared" si="17"/>
        <v>0.996</v>
      </c>
      <c r="K84" s="23">
        <f>('Consolidated underlying data'!B84+'Consolidated underlying data'!J84*$M$1)</f>
        <v>4.3999999999999997E-2</v>
      </c>
      <c r="L84" s="106">
        <f t="shared" si="18"/>
        <v>1.0999999999999999E-2</v>
      </c>
      <c r="M84" s="30">
        <f t="shared" si="19"/>
        <v>8.6956521739132153E-3</v>
      </c>
      <c r="N84" s="30">
        <f t="shared" si="24"/>
        <v>1.0086956521739132</v>
      </c>
      <c r="O84" s="106">
        <f t="shared" si="20"/>
        <v>0.996</v>
      </c>
      <c r="P84" s="106">
        <f t="shared" si="21"/>
        <v>-1.0000000000000009E-3</v>
      </c>
      <c r="Q84" s="106">
        <f t="shared" si="22"/>
        <v>-4.0000000000000036E-3</v>
      </c>
      <c r="R84" s="26"/>
      <c r="S84" s="28"/>
      <c r="Y84" s="61"/>
      <c r="Z84" s="61"/>
      <c r="AA84" s="61"/>
      <c r="AB84" s="38"/>
      <c r="AC84" s="65"/>
      <c r="AG84" s="64"/>
    </row>
    <row r="85" spans="1:45" x14ac:dyDescent="0.35">
      <c r="A85" s="22">
        <v>1965</v>
      </c>
      <c r="B85" s="22"/>
      <c r="C85" s="22"/>
      <c r="D85" s="43">
        <f>'Consolidated underlying data'!E85</f>
        <v>5.1999999999999998E-2</v>
      </c>
      <c r="E85" s="47">
        <f t="shared" si="15"/>
        <v>1.2999999999999999E-2</v>
      </c>
      <c r="F85" s="43">
        <f>'Consolidated underlying data'!F85</f>
        <v>4.1000000000000002E-2</v>
      </c>
      <c r="G85" s="23">
        <f>'Consolidated underlying data'!B85</f>
        <v>-8.2000000000000003E-2</v>
      </c>
      <c r="H85" s="24">
        <f t="shared" si="16"/>
        <v>-0.11815561959654164</v>
      </c>
      <c r="I85" s="24">
        <f t="shared" si="23"/>
        <v>0.88184438040345836</v>
      </c>
      <c r="J85" s="25">
        <f t="shared" si="17"/>
        <v>0.86599999999999999</v>
      </c>
      <c r="K85" s="23">
        <f>('Consolidated underlying data'!B85+'Consolidated underlying data'!J85*$M$1)</f>
        <v>-8.2000000000000003E-2</v>
      </c>
      <c r="L85" s="106">
        <f t="shared" si="18"/>
        <v>-2.0500000000000001E-2</v>
      </c>
      <c r="M85" s="30">
        <f t="shared" si="19"/>
        <v>-0.11815561959654164</v>
      </c>
      <c r="N85" s="30">
        <f t="shared" si="24"/>
        <v>0.88184438040345836</v>
      </c>
      <c r="O85" s="106">
        <f t="shared" si="20"/>
        <v>0.86599999999999999</v>
      </c>
      <c r="P85" s="106">
        <f t="shared" si="21"/>
        <v>-3.3500000000000002E-2</v>
      </c>
      <c r="Q85" s="106">
        <f t="shared" si="22"/>
        <v>-0.13400000000000001</v>
      </c>
      <c r="R85" s="26"/>
      <c r="S85" s="28"/>
      <c r="Y85" s="61"/>
      <c r="Z85" s="61"/>
      <c r="AA85" s="61"/>
      <c r="AB85" s="38"/>
      <c r="AC85" s="65"/>
      <c r="AG85" s="64"/>
    </row>
    <row r="86" spans="1:45" x14ac:dyDescent="0.35">
      <c r="A86" s="22">
        <v>1966</v>
      </c>
      <c r="B86" s="22"/>
      <c r="C86" s="22"/>
      <c r="D86" s="43">
        <f>'Consolidated underlying data'!E86</f>
        <v>0.05</v>
      </c>
      <c r="E86" s="47">
        <f t="shared" si="15"/>
        <v>1.2500000000000001E-2</v>
      </c>
      <c r="F86" s="43">
        <f>'Consolidated underlying data'!F86</f>
        <v>2.5999999999999999E-2</v>
      </c>
      <c r="G86" s="23">
        <f>'Consolidated underlying data'!B86</f>
        <v>6.7000000000000004E-2</v>
      </c>
      <c r="H86" s="24">
        <f t="shared" si="16"/>
        <v>3.9961013645224197E-2</v>
      </c>
      <c r="I86" s="24">
        <f t="shared" si="23"/>
        <v>1.0399610136452242</v>
      </c>
      <c r="J86" s="25">
        <f t="shared" si="17"/>
        <v>1.0169999999999999</v>
      </c>
      <c r="K86" s="23">
        <f>('Consolidated underlying data'!B86+'Consolidated underlying data'!J86*$M$1)</f>
        <v>6.7000000000000004E-2</v>
      </c>
      <c r="L86" s="106">
        <f t="shared" si="18"/>
        <v>1.6750000000000001E-2</v>
      </c>
      <c r="M86" s="30">
        <f t="shared" si="19"/>
        <v>3.9961013645224197E-2</v>
      </c>
      <c r="N86" s="30">
        <f t="shared" si="24"/>
        <v>1.0399610136452242</v>
      </c>
      <c r="O86" s="106">
        <f t="shared" si="20"/>
        <v>1.0169999999999999</v>
      </c>
      <c r="P86" s="106">
        <f t="shared" si="21"/>
        <v>4.2500000000000003E-3</v>
      </c>
      <c r="Q86" s="106">
        <f t="shared" si="22"/>
        <v>1.7000000000000001E-2</v>
      </c>
      <c r="R86" s="26"/>
      <c r="S86" s="28"/>
      <c r="Y86" s="61"/>
      <c r="Z86" s="61"/>
      <c r="AA86" s="61"/>
      <c r="AB86" s="38"/>
      <c r="AC86" s="65"/>
      <c r="AG86" s="64"/>
    </row>
    <row r="87" spans="1:45" x14ac:dyDescent="0.35">
      <c r="A87" s="22">
        <v>1967</v>
      </c>
      <c r="B87" s="22"/>
      <c r="C87" s="22"/>
      <c r="D87" s="43">
        <f>'Consolidated underlying data'!E87</f>
        <v>5.0999999999999997E-2</v>
      </c>
      <c r="E87" s="47">
        <f t="shared" si="15"/>
        <v>1.2749999999999999E-2</v>
      </c>
      <c r="F87" s="43">
        <f>'Consolidated underlying data'!F87</f>
        <v>3.2000000000000001E-2</v>
      </c>
      <c r="G87" s="23">
        <f>'Consolidated underlying data'!B87</f>
        <v>0.42499999999999999</v>
      </c>
      <c r="H87" s="24">
        <f t="shared" si="16"/>
        <v>0.3808139534883721</v>
      </c>
      <c r="I87" s="24">
        <f t="shared" si="23"/>
        <v>1.3808139534883721</v>
      </c>
      <c r="J87" s="25">
        <f t="shared" si="17"/>
        <v>1.3740000000000001</v>
      </c>
      <c r="K87" s="23">
        <f>('Consolidated underlying data'!B87+'Consolidated underlying data'!J87*$M$1)</f>
        <v>0.42499999999999999</v>
      </c>
      <c r="L87" s="106">
        <f t="shared" si="18"/>
        <v>0.10625</v>
      </c>
      <c r="M87" s="30">
        <f t="shared" si="19"/>
        <v>0.3808139534883721</v>
      </c>
      <c r="N87" s="30">
        <f t="shared" si="24"/>
        <v>1.3808139534883721</v>
      </c>
      <c r="O87" s="106">
        <f t="shared" si="20"/>
        <v>1.3740000000000001</v>
      </c>
      <c r="P87" s="106">
        <f t="shared" si="21"/>
        <v>9.35E-2</v>
      </c>
      <c r="Q87" s="106">
        <f t="shared" si="22"/>
        <v>0.374</v>
      </c>
      <c r="R87" s="26"/>
      <c r="S87" s="28"/>
      <c r="Y87" s="61"/>
      <c r="Z87" s="61"/>
      <c r="AA87" s="61"/>
      <c r="AB87" s="38"/>
      <c r="AC87" s="65"/>
      <c r="AG87" s="64"/>
    </row>
    <row r="88" spans="1:45" x14ac:dyDescent="0.35">
      <c r="A88" s="22">
        <v>1968</v>
      </c>
      <c r="B88" s="22"/>
      <c r="C88" s="22"/>
      <c r="D88" s="43">
        <f>'Consolidated underlying data'!E88</f>
        <v>4.9000000000000002E-2</v>
      </c>
      <c r="E88" s="47">
        <f t="shared" si="15"/>
        <v>1.225E-2</v>
      </c>
      <c r="F88" s="43">
        <f>'Consolidated underlying data'!F88</f>
        <v>2.5000000000000001E-2</v>
      </c>
      <c r="G88" s="23">
        <f>'Consolidated underlying data'!B88</f>
        <v>0.34799999999999998</v>
      </c>
      <c r="H88" s="24">
        <f t="shared" si="16"/>
        <v>0.31512195121951225</v>
      </c>
      <c r="I88" s="24">
        <f t="shared" si="23"/>
        <v>1.3151219512195123</v>
      </c>
      <c r="J88" s="25">
        <f t="shared" si="17"/>
        <v>1.2989999999999999</v>
      </c>
      <c r="K88" s="23">
        <f>('Consolidated underlying data'!B88+'Consolidated underlying data'!J88*$M$1)</f>
        <v>0.34799999999999998</v>
      </c>
      <c r="L88" s="106">
        <f t="shared" si="18"/>
        <v>8.6999999999999994E-2</v>
      </c>
      <c r="M88" s="30">
        <f t="shared" si="19"/>
        <v>0.31512195121951225</v>
      </c>
      <c r="N88" s="30">
        <f t="shared" si="24"/>
        <v>1.3151219512195123</v>
      </c>
      <c r="O88" s="106">
        <f t="shared" si="20"/>
        <v>1.2989999999999999</v>
      </c>
      <c r="P88" s="106">
        <f t="shared" si="21"/>
        <v>7.4749999999999997E-2</v>
      </c>
      <c r="Q88" s="106">
        <f t="shared" si="22"/>
        <v>0.29899999999999999</v>
      </c>
      <c r="R88" s="26"/>
      <c r="S88" s="28"/>
      <c r="Y88" s="61"/>
      <c r="Z88" s="61"/>
      <c r="AA88" s="61"/>
      <c r="AB88" s="38"/>
      <c r="AC88" s="65"/>
      <c r="AG88" s="64"/>
    </row>
    <row r="89" spans="1:45" x14ac:dyDescent="0.35">
      <c r="A89" s="22">
        <v>1969</v>
      </c>
      <c r="B89" s="22"/>
      <c r="C89" s="22"/>
      <c r="D89" s="43">
        <f>'Consolidated underlying data'!E89</f>
        <v>5.6000000000000001E-2</v>
      </c>
      <c r="E89" s="47">
        <f t="shared" si="15"/>
        <v>1.4E-2</v>
      </c>
      <c r="F89" s="43">
        <f>'Consolidated underlying data'!F89</f>
        <v>0.03</v>
      </c>
      <c r="G89" s="23">
        <f>'Consolidated underlying data'!B89</f>
        <v>0.10100000000000001</v>
      </c>
      <c r="H89" s="24">
        <f t="shared" si="16"/>
        <v>6.893203883495147E-2</v>
      </c>
      <c r="I89" s="24">
        <f t="shared" si="23"/>
        <v>1.0689320388349515</v>
      </c>
      <c r="J89" s="25">
        <f t="shared" si="17"/>
        <v>1.0449999999999999</v>
      </c>
      <c r="K89" s="23">
        <f>('Consolidated underlying data'!B89+'Consolidated underlying data'!J89*$M$1)</f>
        <v>0.10100000000000001</v>
      </c>
      <c r="L89" s="106">
        <f t="shared" si="18"/>
        <v>2.5250000000000002E-2</v>
      </c>
      <c r="M89" s="30">
        <f t="shared" si="19"/>
        <v>6.893203883495147E-2</v>
      </c>
      <c r="N89" s="30">
        <f t="shared" si="24"/>
        <v>1.0689320388349515</v>
      </c>
      <c r="O89" s="106">
        <f t="shared" si="20"/>
        <v>1.0449999999999999</v>
      </c>
      <c r="P89" s="106">
        <f t="shared" si="21"/>
        <v>1.1250000000000001E-2</v>
      </c>
      <c r="Q89" s="106">
        <f t="shared" si="22"/>
        <v>4.5000000000000005E-2</v>
      </c>
      <c r="R89" s="26"/>
      <c r="S89" s="28"/>
      <c r="Y89" s="61"/>
      <c r="Z89" s="61"/>
      <c r="AA89" s="61"/>
      <c r="AB89" s="38"/>
      <c r="AC89" s="65"/>
      <c r="AG89" s="64"/>
    </row>
    <row r="90" spans="1:45" x14ac:dyDescent="0.35">
      <c r="A90" s="22">
        <v>1970</v>
      </c>
      <c r="B90" s="22"/>
      <c r="C90" s="22"/>
      <c r="D90" s="43">
        <f>'Consolidated underlying data'!E90</f>
        <v>6.4000000000000001E-2</v>
      </c>
      <c r="E90" s="47">
        <f t="shared" si="15"/>
        <v>1.6E-2</v>
      </c>
      <c r="F90" s="43">
        <f>'Consolidated underlying data'!F90</f>
        <v>4.7E-2</v>
      </c>
      <c r="G90" s="23">
        <f>'Consolidated underlying data'!B90</f>
        <v>-0.13700000000000001</v>
      </c>
      <c r="H90" s="24">
        <f t="shared" si="16"/>
        <v>-0.17574021012416419</v>
      </c>
      <c r="I90" s="24">
        <f t="shared" si="23"/>
        <v>0.82425978987583581</v>
      </c>
      <c r="J90" s="25">
        <f t="shared" si="17"/>
        <v>0.79899999999999993</v>
      </c>
      <c r="K90" s="23">
        <f>('Consolidated underlying data'!B90+'Consolidated underlying data'!J90*$M$1)</f>
        <v>-0.13700000000000001</v>
      </c>
      <c r="L90" s="106">
        <f t="shared" si="18"/>
        <v>-3.4250000000000003E-2</v>
      </c>
      <c r="M90" s="30">
        <f t="shared" si="19"/>
        <v>-0.17574021012416419</v>
      </c>
      <c r="N90" s="30">
        <f t="shared" si="24"/>
        <v>0.82425978987583581</v>
      </c>
      <c r="O90" s="106">
        <f t="shared" si="20"/>
        <v>0.79899999999999993</v>
      </c>
      <c r="P90" s="106">
        <f t="shared" si="21"/>
        <v>-5.0250000000000003E-2</v>
      </c>
      <c r="Q90" s="106">
        <f t="shared" si="22"/>
        <v>-0.20100000000000001</v>
      </c>
      <c r="R90" s="26"/>
      <c r="S90" s="28"/>
      <c r="Y90" s="61"/>
      <c r="Z90" s="61"/>
      <c r="AA90" s="61"/>
      <c r="AB90" s="38"/>
      <c r="AC90" s="65"/>
      <c r="AG90" s="64"/>
    </row>
    <row r="91" spans="1:45" x14ac:dyDescent="0.35">
      <c r="A91" s="22">
        <v>1971</v>
      </c>
      <c r="B91" s="22"/>
      <c r="C91" s="22"/>
      <c r="D91" s="43">
        <f>'Consolidated underlying data'!E91</f>
        <v>5.7000000000000002E-2</v>
      </c>
      <c r="E91" s="47">
        <f t="shared" si="15"/>
        <v>1.4250000000000001E-2</v>
      </c>
      <c r="F91" s="43">
        <f>'Consolidated underlying data'!F91</f>
        <v>7.2999999999999995E-2</v>
      </c>
      <c r="G91" s="23">
        <f>'Consolidated underlying data'!B91</f>
        <v>-6.0999999999999999E-2</v>
      </c>
      <c r="H91" s="24">
        <f t="shared" si="16"/>
        <v>-0.12488350419384897</v>
      </c>
      <c r="I91" s="24">
        <f t="shared" si="23"/>
        <v>0.87511649580615103</v>
      </c>
      <c r="J91" s="25">
        <f t="shared" si="17"/>
        <v>0.88200000000000001</v>
      </c>
      <c r="K91" s="23">
        <f>('Consolidated underlying data'!B91+'Consolidated underlying data'!J91*$M$1)</f>
        <v>-6.0999999999999999E-2</v>
      </c>
      <c r="L91" s="106">
        <f t="shared" si="18"/>
        <v>-1.525E-2</v>
      </c>
      <c r="M91" s="30">
        <f t="shared" si="19"/>
        <v>-0.12488350419384897</v>
      </c>
      <c r="N91" s="30">
        <f t="shared" si="24"/>
        <v>0.87511649580615103</v>
      </c>
      <c r="O91" s="106">
        <f t="shared" si="20"/>
        <v>0.88200000000000001</v>
      </c>
      <c r="P91" s="106">
        <f t="shared" si="21"/>
        <v>-2.9499999999999998E-2</v>
      </c>
      <c r="Q91" s="106">
        <f t="shared" si="22"/>
        <v>-0.11799999999999999</v>
      </c>
      <c r="R91" s="26"/>
      <c r="S91" s="28"/>
      <c r="Y91" s="61"/>
      <c r="Z91" s="61"/>
      <c r="AA91" s="61"/>
      <c r="AB91" s="38"/>
      <c r="AC91" s="65"/>
      <c r="AG91" s="64"/>
    </row>
    <row r="92" spans="1:45" x14ac:dyDescent="0.35">
      <c r="A92" s="22">
        <v>1972</v>
      </c>
      <c r="B92" s="43">
        <v>5.4000000000000006E-2</v>
      </c>
      <c r="C92" s="43">
        <f t="shared" ref="C92:C140" si="25">B92/4</f>
        <v>1.3500000000000002E-2</v>
      </c>
      <c r="D92" s="43">
        <f>'Consolidated underlying data'!E92</f>
        <v>5.2999999999999999E-2</v>
      </c>
      <c r="E92" s="47">
        <f t="shared" si="15"/>
        <v>1.325E-2</v>
      </c>
      <c r="F92" s="43">
        <f>'Consolidated underlying data'!F92</f>
        <v>4.7E-2</v>
      </c>
      <c r="G92" s="23">
        <f>'Consolidated underlying data'!B92</f>
        <v>0.36399999999999999</v>
      </c>
      <c r="H92" s="24">
        <f t="shared" si="16"/>
        <v>0.30276981852913076</v>
      </c>
      <c r="I92" s="24">
        <f t="shared" si="23"/>
        <v>1.3027698185291308</v>
      </c>
      <c r="J92" s="25">
        <f t="shared" si="17"/>
        <v>1.3109999999999999</v>
      </c>
      <c r="K92" s="23">
        <f>('Consolidated underlying data'!B92+'Consolidated underlying data'!J92*$M$1)</f>
        <v>0.36399999999999999</v>
      </c>
      <c r="L92" s="106">
        <f t="shared" si="18"/>
        <v>9.0999999999999998E-2</v>
      </c>
      <c r="M92" s="30">
        <f t="shared" si="19"/>
        <v>0.30276981852913076</v>
      </c>
      <c r="N92" s="30">
        <f t="shared" si="24"/>
        <v>1.3027698185291308</v>
      </c>
      <c r="O92" s="106">
        <f t="shared" si="20"/>
        <v>1.3109999999999999</v>
      </c>
      <c r="P92" s="106">
        <f t="shared" si="21"/>
        <v>7.775E-2</v>
      </c>
      <c r="Q92" s="106">
        <f t="shared" si="22"/>
        <v>0.311</v>
      </c>
      <c r="R92" s="26">
        <f t="shared" ref="R92:R123" si="26">(K92-B92)+1</f>
        <v>1.31</v>
      </c>
      <c r="S92" s="106">
        <f t="shared" ref="S92:S123" si="27">L92-C92</f>
        <v>7.7499999999999999E-2</v>
      </c>
      <c r="T92" s="18">
        <f t="shared" ref="T92:T140" si="28">S92*4</f>
        <v>0.31</v>
      </c>
      <c r="Y92" s="61"/>
      <c r="Z92" s="61"/>
      <c r="AA92" s="61"/>
      <c r="AB92" s="38"/>
      <c r="AC92" s="65"/>
      <c r="AG92" s="64"/>
    </row>
    <row r="93" spans="1:45" x14ac:dyDescent="0.35">
      <c r="A93" s="22">
        <v>1973</v>
      </c>
      <c r="B93" s="43">
        <v>8.2400000000000001E-2</v>
      </c>
      <c r="C93" s="43">
        <f t="shared" si="25"/>
        <v>2.06E-2</v>
      </c>
      <c r="D93" s="43">
        <f>'Consolidated underlying data'!E93</f>
        <v>8.1000000000000003E-2</v>
      </c>
      <c r="E93" s="47">
        <f t="shared" si="15"/>
        <v>2.0250000000000001E-2</v>
      </c>
      <c r="F93" s="43">
        <f>'Consolidated underlying data'!F93</f>
        <v>0.129</v>
      </c>
      <c r="G93" s="23">
        <f>'Consolidated underlying data'!B93</f>
        <v>-0.25800000000000001</v>
      </c>
      <c r="H93" s="24">
        <f t="shared" si="16"/>
        <v>-0.34278122232063779</v>
      </c>
      <c r="I93" s="24">
        <f t="shared" si="23"/>
        <v>0.65721877767936221</v>
      </c>
      <c r="J93" s="25">
        <f t="shared" si="17"/>
        <v>0.66100000000000003</v>
      </c>
      <c r="K93" s="23">
        <f>('Consolidated underlying data'!B93+'Consolidated underlying data'!J93*$M$1)</f>
        <v>-0.25800000000000001</v>
      </c>
      <c r="L93" s="106">
        <f t="shared" si="18"/>
        <v>-6.4500000000000002E-2</v>
      </c>
      <c r="M93" s="30">
        <f t="shared" si="19"/>
        <v>-0.34278122232063779</v>
      </c>
      <c r="N93" s="30">
        <f t="shared" si="24"/>
        <v>0.65721877767936221</v>
      </c>
      <c r="O93" s="106">
        <f t="shared" si="20"/>
        <v>0.66100000000000003</v>
      </c>
      <c r="P93" s="106">
        <f t="shared" si="21"/>
        <v>-8.4750000000000006E-2</v>
      </c>
      <c r="Q93" s="106">
        <f t="shared" si="22"/>
        <v>-0.33900000000000002</v>
      </c>
      <c r="R93" s="26">
        <f t="shared" si="26"/>
        <v>0.65959999999999996</v>
      </c>
      <c r="S93" s="106">
        <f t="shared" si="27"/>
        <v>-8.5100000000000009E-2</v>
      </c>
      <c r="T93" s="18">
        <f t="shared" si="28"/>
        <v>-0.34040000000000004</v>
      </c>
      <c r="Y93" s="61"/>
      <c r="Z93" s="61"/>
      <c r="AA93" s="61"/>
      <c r="AB93" s="38"/>
      <c r="AC93" s="65"/>
      <c r="AG93" s="64"/>
    </row>
    <row r="94" spans="1:45" x14ac:dyDescent="0.35">
      <c r="A94" s="22">
        <v>1974</v>
      </c>
      <c r="B94" s="43">
        <v>9.1499999999999998E-2</v>
      </c>
      <c r="C94" s="43">
        <f t="shared" si="25"/>
        <v>2.2875E-2</v>
      </c>
      <c r="D94" s="43">
        <f>'Consolidated underlying data'!E94</f>
        <v>9.1999999999999998E-2</v>
      </c>
      <c r="E94" s="47">
        <f t="shared" ref="E94:E107" si="29">D94/4</f>
        <v>2.3E-2</v>
      </c>
      <c r="F94" s="43">
        <f>'Consolidated underlying data'!F94</f>
        <v>0.16300000000000001</v>
      </c>
      <c r="G94" s="23">
        <f>'Consolidated underlying data'!B94</f>
        <v>-0.26200000000000001</v>
      </c>
      <c r="H94" s="24">
        <f t="shared" si="16"/>
        <v>-0.3654342218400688</v>
      </c>
      <c r="I94" s="24">
        <f t="shared" si="23"/>
        <v>0.6345657781599312</v>
      </c>
      <c r="J94" s="25">
        <f t="shared" si="17"/>
        <v>0.64600000000000002</v>
      </c>
      <c r="K94" s="23">
        <f>('Consolidated underlying data'!B94+'Consolidated underlying data'!J94*$M$1)</f>
        <v>-0.26200000000000001</v>
      </c>
      <c r="L94" s="106">
        <f t="shared" si="18"/>
        <v>-6.5500000000000003E-2</v>
      </c>
      <c r="M94" s="30">
        <f t="shared" si="19"/>
        <v>-0.3654342218400688</v>
      </c>
      <c r="N94" s="30">
        <f t="shared" si="24"/>
        <v>0.6345657781599312</v>
      </c>
      <c r="O94" s="106">
        <f t="shared" si="20"/>
        <v>0.64600000000000002</v>
      </c>
      <c r="P94" s="106">
        <f t="shared" si="21"/>
        <v>-8.8499999999999995E-2</v>
      </c>
      <c r="Q94" s="106">
        <f t="shared" si="22"/>
        <v>-0.35399999999999998</v>
      </c>
      <c r="R94" s="26">
        <f t="shared" si="26"/>
        <v>0.64649999999999996</v>
      </c>
      <c r="S94" s="106">
        <f t="shared" si="27"/>
        <v>-8.8375000000000009E-2</v>
      </c>
      <c r="T94" s="18">
        <f t="shared" si="28"/>
        <v>-0.35350000000000004</v>
      </c>
      <c r="Y94" s="61"/>
      <c r="Z94" s="61"/>
      <c r="AA94" s="61"/>
      <c r="AB94" s="38"/>
      <c r="AC94" s="65"/>
      <c r="AG94" s="64"/>
    </row>
    <row r="95" spans="1:45" x14ac:dyDescent="0.35">
      <c r="A95" s="22">
        <v>1975</v>
      </c>
      <c r="B95" s="43">
        <v>9.3900000000000011E-2</v>
      </c>
      <c r="C95" s="43">
        <f t="shared" si="25"/>
        <v>2.3475000000000003E-2</v>
      </c>
      <c r="D95" s="43">
        <f>'Consolidated underlying data'!E95</f>
        <v>0.1</v>
      </c>
      <c r="E95" s="47">
        <f t="shared" si="29"/>
        <v>2.5000000000000001E-2</v>
      </c>
      <c r="F95" s="43">
        <f>'Consolidated underlying data'!F95</f>
        <v>0.14399999999999999</v>
      </c>
      <c r="G95" s="23">
        <f>'Consolidated underlying data'!B95</f>
        <v>0.54600000000000004</v>
      </c>
      <c r="H95" s="24">
        <f t="shared" si="16"/>
        <v>0.35139860139860146</v>
      </c>
      <c r="I95" s="24">
        <f t="shared" si="23"/>
        <v>1.3513986013986015</v>
      </c>
      <c r="J95" s="25">
        <f t="shared" si="17"/>
        <v>1.4460000000000002</v>
      </c>
      <c r="K95" s="23">
        <f>('Consolidated underlying data'!B95+'Consolidated underlying data'!J95*$M$1)</f>
        <v>0.54600000000000004</v>
      </c>
      <c r="L95" s="106">
        <f t="shared" si="18"/>
        <v>0.13650000000000001</v>
      </c>
      <c r="M95" s="30">
        <f t="shared" si="19"/>
        <v>0.35139860139860146</v>
      </c>
      <c r="N95" s="30">
        <f t="shared" si="24"/>
        <v>1.3513986013986015</v>
      </c>
      <c r="O95" s="106">
        <f t="shared" si="20"/>
        <v>1.4460000000000002</v>
      </c>
      <c r="P95" s="106">
        <f t="shared" si="21"/>
        <v>0.11150000000000002</v>
      </c>
      <c r="Q95" s="106">
        <f t="shared" si="22"/>
        <v>0.44600000000000006</v>
      </c>
      <c r="R95" s="26">
        <f t="shared" si="26"/>
        <v>1.4521000000000002</v>
      </c>
      <c r="S95" s="106">
        <f t="shared" si="27"/>
        <v>0.11302500000000001</v>
      </c>
      <c r="T95" s="18">
        <f t="shared" si="28"/>
        <v>0.45210000000000006</v>
      </c>
      <c r="Y95" s="61"/>
      <c r="Z95" s="61"/>
      <c r="AA95" s="61"/>
      <c r="AB95" s="38"/>
      <c r="AC95" s="65"/>
      <c r="AG95" s="64"/>
    </row>
    <row r="96" spans="1:45" x14ac:dyDescent="0.35">
      <c r="A96" s="22">
        <v>1976</v>
      </c>
      <c r="B96" s="43">
        <v>0.10210000000000001</v>
      </c>
      <c r="C96" s="43">
        <f t="shared" si="25"/>
        <v>2.5525000000000003E-2</v>
      </c>
      <c r="D96" s="43">
        <f>'Consolidated underlying data'!E96</f>
        <v>0.104</v>
      </c>
      <c r="E96" s="47">
        <f t="shared" si="29"/>
        <v>2.5999999999999999E-2</v>
      </c>
      <c r="F96" s="43">
        <f>'Consolidated underlying data'!F96</f>
        <v>0.14199999999999999</v>
      </c>
      <c r="G96" s="23">
        <f>'Consolidated underlying data'!B96</f>
        <v>3.5999999999999997E-2</v>
      </c>
      <c r="H96" s="24">
        <f t="shared" si="16"/>
        <v>-9.2819614711033172E-2</v>
      </c>
      <c r="I96" s="24">
        <f t="shared" si="23"/>
        <v>0.90718038528896683</v>
      </c>
      <c r="J96" s="25">
        <f t="shared" si="17"/>
        <v>0.93199999999999994</v>
      </c>
      <c r="K96" s="23">
        <f>('Consolidated underlying data'!B96+'Consolidated underlying data'!J96*$M$1)</f>
        <v>3.5999999999999997E-2</v>
      </c>
      <c r="L96" s="106">
        <f t="shared" si="18"/>
        <v>8.9999999999999993E-3</v>
      </c>
      <c r="M96" s="30">
        <f t="shared" si="19"/>
        <v>-9.2819614711033172E-2</v>
      </c>
      <c r="N96" s="30">
        <f t="shared" si="24"/>
        <v>0.90718038528896683</v>
      </c>
      <c r="O96" s="106">
        <f t="shared" si="20"/>
        <v>0.93199999999999994</v>
      </c>
      <c r="P96" s="106">
        <f t="shared" si="21"/>
        <v>-1.7000000000000001E-2</v>
      </c>
      <c r="Q96" s="106">
        <f t="shared" si="22"/>
        <v>-6.8000000000000005E-2</v>
      </c>
      <c r="R96" s="26">
        <f t="shared" si="26"/>
        <v>0.93389999999999995</v>
      </c>
      <c r="S96" s="106">
        <f t="shared" si="27"/>
        <v>-1.6525000000000005E-2</v>
      </c>
      <c r="T96" s="18">
        <f t="shared" si="28"/>
        <v>-6.610000000000002E-2</v>
      </c>
      <c r="Y96" s="61"/>
      <c r="Z96" s="61"/>
      <c r="AA96" s="61"/>
      <c r="AB96" s="38"/>
      <c r="AC96" s="65"/>
      <c r="AG96" s="64"/>
      <c r="AR96" s="66"/>
      <c r="AS96" s="62"/>
    </row>
    <row r="97" spans="1:45" x14ac:dyDescent="0.35">
      <c r="A97" s="22">
        <v>1977</v>
      </c>
      <c r="B97" s="43">
        <v>9.5000000000000001E-2</v>
      </c>
      <c r="C97" s="43">
        <f t="shared" si="25"/>
        <v>2.375E-2</v>
      </c>
      <c r="D97" s="43">
        <f>'Consolidated underlying data'!E97</f>
        <v>9.5000000000000001E-2</v>
      </c>
      <c r="E97" s="47">
        <f t="shared" si="29"/>
        <v>2.375E-2</v>
      </c>
      <c r="F97" s="43">
        <f>'Consolidated underlying data'!F97</f>
        <v>9.2999999999999999E-2</v>
      </c>
      <c r="G97" s="23">
        <f>'Consolidated underlying data'!B97</f>
        <v>0.13200000000000001</v>
      </c>
      <c r="H97" s="24">
        <f t="shared" si="16"/>
        <v>3.5681610247026763E-2</v>
      </c>
      <c r="I97" s="24">
        <f t="shared" si="23"/>
        <v>1.0356816102470268</v>
      </c>
      <c r="J97" s="25">
        <f t="shared" si="17"/>
        <v>1.0369999999999999</v>
      </c>
      <c r="K97" s="23">
        <f>('Consolidated underlying data'!B97+'Consolidated underlying data'!J97*$M$1)</f>
        <v>0.13200000000000001</v>
      </c>
      <c r="L97" s="106">
        <f t="shared" si="18"/>
        <v>3.3000000000000002E-2</v>
      </c>
      <c r="M97" s="30">
        <f t="shared" si="19"/>
        <v>3.5681610247026763E-2</v>
      </c>
      <c r="N97" s="30">
        <f t="shared" si="24"/>
        <v>1.0356816102470268</v>
      </c>
      <c r="O97" s="106">
        <f t="shared" si="20"/>
        <v>1.0369999999999999</v>
      </c>
      <c r="P97" s="106">
        <f t="shared" si="21"/>
        <v>9.2500000000000013E-3</v>
      </c>
      <c r="Q97" s="106">
        <f t="shared" si="22"/>
        <v>3.7000000000000005E-2</v>
      </c>
      <c r="R97" s="26">
        <f t="shared" si="26"/>
        <v>1.0369999999999999</v>
      </c>
      <c r="S97" s="106">
        <f t="shared" si="27"/>
        <v>9.2500000000000013E-3</v>
      </c>
      <c r="T97" s="18">
        <f t="shared" si="28"/>
        <v>3.7000000000000005E-2</v>
      </c>
      <c r="Y97" s="61"/>
      <c r="Z97" s="61"/>
      <c r="AA97" s="61"/>
      <c r="AB97" s="38"/>
      <c r="AC97" s="65"/>
      <c r="AG97" s="64"/>
      <c r="AR97" s="66"/>
      <c r="AS97" s="62"/>
    </row>
    <row r="98" spans="1:45" x14ac:dyDescent="0.35">
      <c r="A98" s="22">
        <v>1978</v>
      </c>
      <c r="B98" s="43">
        <v>8.8000000000000009E-2</v>
      </c>
      <c r="C98" s="43">
        <f t="shared" si="25"/>
        <v>2.2000000000000002E-2</v>
      </c>
      <c r="D98" s="43">
        <f>'Consolidated underlying data'!E98</f>
        <v>8.7999999999999995E-2</v>
      </c>
      <c r="E98" s="47">
        <f t="shared" si="29"/>
        <v>2.1999999999999999E-2</v>
      </c>
      <c r="F98" s="43">
        <f>'Consolidated underlying data'!F98</f>
        <v>7.6999999999999999E-2</v>
      </c>
      <c r="G98" s="23">
        <f>'Consolidated underlying data'!B98</f>
        <v>0.24299999999999999</v>
      </c>
      <c r="H98" s="24">
        <f t="shared" si="16"/>
        <v>0.15413184772516253</v>
      </c>
      <c r="I98" s="24">
        <f t="shared" si="23"/>
        <v>1.1541318477251625</v>
      </c>
      <c r="J98" s="25">
        <f t="shared" si="17"/>
        <v>1.155</v>
      </c>
      <c r="K98" s="23">
        <f>('Consolidated underlying data'!B98+'Consolidated underlying data'!J98*$M$1)</f>
        <v>0.24299999999999999</v>
      </c>
      <c r="L98" s="106">
        <f t="shared" si="18"/>
        <v>6.0749999999999998E-2</v>
      </c>
      <c r="M98" s="30">
        <f t="shared" si="19"/>
        <v>0.15413184772516253</v>
      </c>
      <c r="N98" s="30">
        <f t="shared" si="24"/>
        <v>1.1541318477251625</v>
      </c>
      <c r="O98" s="106">
        <f t="shared" si="20"/>
        <v>1.155</v>
      </c>
      <c r="P98" s="106">
        <f t="shared" si="21"/>
        <v>3.875E-2</v>
      </c>
      <c r="Q98" s="106">
        <f t="shared" si="22"/>
        <v>0.155</v>
      </c>
      <c r="R98" s="26">
        <f t="shared" si="26"/>
        <v>1.155</v>
      </c>
      <c r="S98" s="106">
        <f t="shared" si="27"/>
        <v>3.8749999999999993E-2</v>
      </c>
      <c r="T98" s="18">
        <f t="shared" si="28"/>
        <v>0.15499999999999997</v>
      </c>
      <c r="Y98" s="61"/>
      <c r="Z98" s="61"/>
      <c r="AA98" s="61"/>
      <c r="AB98" s="38"/>
      <c r="AC98" s="65"/>
      <c r="AG98" s="64"/>
      <c r="AR98" s="66"/>
      <c r="AS98" s="62"/>
    </row>
    <row r="99" spans="1:45" x14ac:dyDescent="0.35">
      <c r="A99" s="22">
        <v>1979</v>
      </c>
      <c r="B99" s="43">
        <v>0.1002</v>
      </c>
      <c r="C99" s="43">
        <f t="shared" si="25"/>
        <v>2.5049999999999999E-2</v>
      </c>
      <c r="D99" s="43">
        <f>'Consolidated underlying data'!E99</f>
        <v>0.10100000000000001</v>
      </c>
      <c r="E99" s="47">
        <f t="shared" si="29"/>
        <v>2.5250000000000002E-2</v>
      </c>
      <c r="F99" s="43">
        <f>'Consolidated underlying data'!F99</f>
        <v>0.10100000000000001</v>
      </c>
      <c r="G99" s="23">
        <f>'Consolidated underlying data'!B99</f>
        <v>0.39</v>
      </c>
      <c r="H99" s="24">
        <f t="shared" ref="H99:H130" si="30">(1+G99)/(1+F99)-1</f>
        <v>0.26248864668483218</v>
      </c>
      <c r="I99" s="24">
        <f t="shared" si="23"/>
        <v>1.2624886466848322</v>
      </c>
      <c r="J99" s="25">
        <f t="shared" ref="J99:J130" si="31">(G99-D99)+1</f>
        <v>1.2890000000000001</v>
      </c>
      <c r="K99" s="23">
        <f>('Consolidated underlying data'!B99+'Consolidated underlying data'!J99*$M$1)</f>
        <v>0.39</v>
      </c>
      <c r="L99" s="106">
        <f t="shared" si="18"/>
        <v>9.7500000000000003E-2</v>
      </c>
      <c r="M99" s="30">
        <f t="shared" ref="M99:M130" si="32">(1+K99)/(1+F99)-1</f>
        <v>0.26248864668483218</v>
      </c>
      <c r="N99" s="30">
        <f t="shared" si="24"/>
        <v>1.2624886466848322</v>
      </c>
      <c r="O99" s="106">
        <f t="shared" ref="O99:O130" si="33">(K99-D99)+1</f>
        <v>1.2890000000000001</v>
      </c>
      <c r="P99" s="106">
        <f t="shared" ref="P99:P130" si="34">(L99-E99)</f>
        <v>7.2250000000000009E-2</v>
      </c>
      <c r="Q99" s="106">
        <f t="shared" si="22"/>
        <v>0.28900000000000003</v>
      </c>
      <c r="R99" s="26">
        <f t="shared" si="26"/>
        <v>1.2898000000000001</v>
      </c>
      <c r="S99" s="106">
        <f t="shared" si="27"/>
        <v>7.2450000000000001E-2</v>
      </c>
      <c r="T99" s="18">
        <f t="shared" si="28"/>
        <v>0.2898</v>
      </c>
      <c r="Y99" s="61"/>
      <c r="Z99" s="61"/>
      <c r="AA99" s="61"/>
      <c r="AB99" s="38"/>
      <c r="AC99" s="65"/>
      <c r="AG99" s="64"/>
      <c r="AR99" s="66"/>
      <c r="AS99" s="62"/>
    </row>
    <row r="100" spans="1:45" x14ac:dyDescent="0.35">
      <c r="A100" s="22">
        <v>1980</v>
      </c>
      <c r="B100" s="43">
        <v>0.12720000000000001</v>
      </c>
      <c r="C100" s="43">
        <f t="shared" si="25"/>
        <v>3.1800000000000002E-2</v>
      </c>
      <c r="D100" s="43">
        <f>'Consolidated underlying data'!E100</f>
        <v>0.126</v>
      </c>
      <c r="E100" s="47">
        <f t="shared" si="29"/>
        <v>3.15E-2</v>
      </c>
      <c r="F100" s="43">
        <f>'Consolidated underlying data'!F100</f>
        <v>9.1999999999999998E-2</v>
      </c>
      <c r="G100" s="23">
        <f>'Consolidated underlying data'!B100</f>
        <v>0.52300000000000002</v>
      </c>
      <c r="H100" s="24">
        <f t="shared" si="30"/>
        <v>0.39468864468864462</v>
      </c>
      <c r="I100" s="24">
        <f t="shared" si="23"/>
        <v>1.3946886446886446</v>
      </c>
      <c r="J100" s="25">
        <f t="shared" si="31"/>
        <v>1.397</v>
      </c>
      <c r="K100" s="23">
        <f>('Consolidated underlying data'!B100+'Consolidated underlying data'!J100*$M$1)</f>
        <v>0.52300000000000002</v>
      </c>
      <c r="L100" s="106">
        <f t="shared" si="18"/>
        <v>0.13075000000000001</v>
      </c>
      <c r="M100" s="30">
        <f t="shared" si="32"/>
        <v>0.39468864468864462</v>
      </c>
      <c r="N100" s="30">
        <f t="shared" si="24"/>
        <v>1.3946886446886446</v>
      </c>
      <c r="O100" s="106">
        <f t="shared" si="33"/>
        <v>1.397</v>
      </c>
      <c r="P100" s="106">
        <f t="shared" si="34"/>
        <v>9.9250000000000005E-2</v>
      </c>
      <c r="Q100" s="106">
        <f t="shared" si="22"/>
        <v>0.39700000000000002</v>
      </c>
      <c r="R100" s="26">
        <f t="shared" si="26"/>
        <v>1.3957999999999999</v>
      </c>
      <c r="S100" s="106">
        <f t="shared" si="27"/>
        <v>9.895000000000001E-2</v>
      </c>
      <c r="T100" s="18">
        <f t="shared" si="28"/>
        <v>0.39580000000000004</v>
      </c>
      <c r="Y100" s="61"/>
      <c r="Z100" s="61"/>
      <c r="AA100" s="61"/>
      <c r="AB100" s="38"/>
      <c r="AC100" s="65"/>
      <c r="AE100" s="65"/>
      <c r="AG100" s="64"/>
      <c r="AR100" s="66"/>
      <c r="AS100" s="62"/>
    </row>
    <row r="101" spans="1:45" x14ac:dyDescent="0.35">
      <c r="A101" s="22">
        <v>1981</v>
      </c>
      <c r="B101" s="43">
        <v>0.14899999999999999</v>
      </c>
      <c r="C101" s="43">
        <f t="shared" si="25"/>
        <v>3.7249999999999998E-2</v>
      </c>
      <c r="D101" s="43">
        <f>'Consolidated underlying data'!E101</f>
        <v>0.15</v>
      </c>
      <c r="E101" s="47">
        <f t="shared" si="29"/>
        <v>3.7499999999999999E-2</v>
      </c>
      <c r="F101" s="43">
        <f>'Consolidated underlying data'!F101</f>
        <v>0.113</v>
      </c>
      <c r="G101" s="23">
        <f>'Consolidated underlying data'!B101</f>
        <v>-0.108</v>
      </c>
      <c r="H101" s="24">
        <f t="shared" si="30"/>
        <v>-0.19856244384546273</v>
      </c>
      <c r="I101" s="24">
        <f t="shared" si="23"/>
        <v>0.80143755615453727</v>
      </c>
      <c r="J101" s="25">
        <f t="shared" si="31"/>
        <v>0.74199999999999999</v>
      </c>
      <c r="K101" s="23">
        <f>('Consolidated underlying data'!B101+'Consolidated underlying data'!J101*$M$1)</f>
        <v>-0.108</v>
      </c>
      <c r="L101" s="106">
        <f t="shared" si="18"/>
        <v>-2.7E-2</v>
      </c>
      <c r="M101" s="30">
        <f t="shared" si="32"/>
        <v>-0.19856244384546273</v>
      </c>
      <c r="N101" s="30">
        <f t="shared" si="24"/>
        <v>0.80143755615453727</v>
      </c>
      <c r="O101" s="106">
        <f t="shared" si="33"/>
        <v>0.74199999999999999</v>
      </c>
      <c r="P101" s="106">
        <f t="shared" si="34"/>
        <v>-6.4500000000000002E-2</v>
      </c>
      <c r="Q101" s="106">
        <f t="shared" si="22"/>
        <v>-0.25800000000000001</v>
      </c>
      <c r="R101" s="26">
        <f t="shared" si="26"/>
        <v>0.74299999999999999</v>
      </c>
      <c r="S101" s="106">
        <f t="shared" si="27"/>
        <v>-6.4250000000000002E-2</v>
      </c>
      <c r="T101" s="18">
        <f t="shared" si="28"/>
        <v>-0.25700000000000001</v>
      </c>
      <c r="Y101" s="61"/>
      <c r="Z101" s="61"/>
      <c r="AA101" s="61"/>
      <c r="AB101" s="38"/>
      <c r="AC101" s="65"/>
      <c r="AE101" s="65"/>
      <c r="AG101" s="64"/>
      <c r="AR101" s="66"/>
      <c r="AS101" s="62"/>
    </row>
    <row r="102" spans="1:45" x14ac:dyDescent="0.35">
      <c r="A102" s="22">
        <v>1982</v>
      </c>
      <c r="B102" s="43">
        <v>0.14000000000000001</v>
      </c>
      <c r="C102" s="43">
        <f t="shared" si="25"/>
        <v>3.5000000000000003E-2</v>
      </c>
      <c r="D102" s="43">
        <f>'Consolidated underlying data'!E102</f>
        <v>0.14000000000000001</v>
      </c>
      <c r="E102" s="47">
        <f t="shared" si="29"/>
        <v>3.5000000000000003E-2</v>
      </c>
      <c r="F102" s="43">
        <f>'Consolidated underlying data'!F102</f>
        <v>0.11</v>
      </c>
      <c r="G102" s="23">
        <f>'Consolidated underlying data'!B102</f>
        <v>-0.153</v>
      </c>
      <c r="H102" s="24">
        <f t="shared" si="30"/>
        <v>-0.23693693693693707</v>
      </c>
      <c r="I102" s="24">
        <f t="shared" si="23"/>
        <v>0.76306306306306293</v>
      </c>
      <c r="J102" s="25">
        <f t="shared" si="31"/>
        <v>0.70699999999999996</v>
      </c>
      <c r="K102" s="23">
        <f>('Consolidated underlying data'!B102+'Consolidated underlying data'!J102*$M$1)</f>
        <v>-0.153</v>
      </c>
      <c r="L102" s="106">
        <f t="shared" si="18"/>
        <v>-3.8249999999999999E-2</v>
      </c>
      <c r="M102" s="30">
        <f t="shared" si="32"/>
        <v>-0.23693693693693707</v>
      </c>
      <c r="N102" s="30">
        <f t="shared" si="24"/>
        <v>0.76306306306306293</v>
      </c>
      <c r="O102" s="106">
        <f t="shared" si="33"/>
        <v>0.70699999999999996</v>
      </c>
      <c r="P102" s="106">
        <f t="shared" si="34"/>
        <v>-7.325000000000001E-2</v>
      </c>
      <c r="Q102" s="106">
        <f t="shared" si="22"/>
        <v>-0.29300000000000004</v>
      </c>
      <c r="R102" s="26">
        <f t="shared" si="26"/>
        <v>0.70699999999999996</v>
      </c>
      <c r="S102" s="106">
        <f t="shared" si="27"/>
        <v>-7.325000000000001E-2</v>
      </c>
      <c r="T102" s="18">
        <f t="shared" si="28"/>
        <v>-0.29300000000000004</v>
      </c>
      <c r="Y102" s="61"/>
      <c r="Z102" s="61"/>
      <c r="AA102" s="61"/>
      <c r="AB102" s="38"/>
      <c r="AC102" s="65"/>
      <c r="AG102" s="64"/>
      <c r="AR102" s="66"/>
      <c r="AS102" s="62"/>
    </row>
    <row r="103" spans="1:45" x14ac:dyDescent="0.35">
      <c r="A103" s="22">
        <v>1983</v>
      </c>
      <c r="B103" s="43">
        <v>0.128</v>
      </c>
      <c r="C103" s="43">
        <f t="shared" si="25"/>
        <v>3.2000000000000001E-2</v>
      </c>
      <c r="D103" s="43">
        <f>'Consolidated underlying data'!E103</f>
        <v>0.13500000000000001</v>
      </c>
      <c r="E103" s="47">
        <f t="shared" si="29"/>
        <v>3.3750000000000002E-2</v>
      </c>
      <c r="F103" s="43">
        <f>'Consolidated underlying data'!F103</f>
        <v>8.5999999999999993E-2</v>
      </c>
      <c r="G103" s="23">
        <f>'Consolidated underlying data'!B103</f>
        <v>0.63700000000000001</v>
      </c>
      <c r="H103" s="24">
        <f t="shared" si="30"/>
        <v>0.50736648250460403</v>
      </c>
      <c r="I103" s="24">
        <f t="shared" si="23"/>
        <v>1.507366482504604</v>
      </c>
      <c r="J103" s="25">
        <f t="shared" si="31"/>
        <v>1.502</v>
      </c>
      <c r="K103" s="23">
        <f>('Consolidated underlying data'!B103+'Consolidated underlying data'!J103*$M$1)</f>
        <v>0.63700000000000001</v>
      </c>
      <c r="L103" s="106">
        <f t="shared" si="18"/>
        <v>0.15925</v>
      </c>
      <c r="M103" s="30">
        <f t="shared" si="32"/>
        <v>0.50736648250460403</v>
      </c>
      <c r="N103" s="30">
        <f t="shared" si="24"/>
        <v>1.507366482504604</v>
      </c>
      <c r="O103" s="106">
        <f t="shared" si="33"/>
        <v>1.502</v>
      </c>
      <c r="P103" s="106">
        <f t="shared" si="34"/>
        <v>0.1255</v>
      </c>
      <c r="Q103" s="106">
        <f t="shared" si="22"/>
        <v>0.502</v>
      </c>
      <c r="R103" s="26">
        <f t="shared" si="26"/>
        <v>1.5089999999999999</v>
      </c>
      <c r="S103" s="106">
        <f t="shared" si="27"/>
        <v>0.12725</v>
      </c>
      <c r="T103" s="18">
        <f t="shared" si="28"/>
        <v>0.50900000000000001</v>
      </c>
      <c r="Y103" s="61"/>
      <c r="Z103" s="61"/>
      <c r="AA103" s="61"/>
      <c r="AB103" s="38"/>
      <c r="AC103" s="65"/>
      <c r="AG103" s="64"/>
      <c r="AR103" s="66"/>
      <c r="AS103" s="62"/>
    </row>
    <row r="104" spans="1:45" x14ac:dyDescent="0.35">
      <c r="A104" s="22">
        <v>1984</v>
      </c>
      <c r="B104" s="43">
        <v>0.13100000000000001</v>
      </c>
      <c r="C104" s="43">
        <f t="shared" si="25"/>
        <v>3.2750000000000001E-2</v>
      </c>
      <c r="D104" s="43">
        <f>'Consolidated underlying data'!E104</f>
        <v>0.13400000000000001</v>
      </c>
      <c r="E104" s="47">
        <f t="shared" si="29"/>
        <v>3.3500000000000002E-2</v>
      </c>
      <c r="F104" s="43">
        <f>'Consolidated underlying data'!F104</f>
        <v>2.5999999999999999E-2</v>
      </c>
      <c r="G104" s="23">
        <f>'Consolidated underlying data'!B104</f>
        <v>5.0000000000000001E-3</v>
      </c>
      <c r="H104" s="24">
        <f t="shared" si="30"/>
        <v>-2.0467836257310079E-2</v>
      </c>
      <c r="I104" s="24">
        <f t="shared" si="23"/>
        <v>0.97953216374268992</v>
      </c>
      <c r="J104" s="25">
        <f t="shared" si="31"/>
        <v>0.871</v>
      </c>
      <c r="K104" s="23">
        <f>('Consolidated underlying data'!B104+'Consolidated underlying data'!J104*$M$1)</f>
        <v>5.0000000000000001E-3</v>
      </c>
      <c r="L104" s="106">
        <f t="shared" si="18"/>
        <v>1.25E-3</v>
      </c>
      <c r="M104" s="30">
        <f t="shared" si="32"/>
        <v>-2.0467836257310079E-2</v>
      </c>
      <c r="N104" s="30">
        <f t="shared" si="24"/>
        <v>0.97953216374268992</v>
      </c>
      <c r="O104" s="106">
        <f t="shared" si="33"/>
        <v>0.871</v>
      </c>
      <c r="P104" s="106">
        <f t="shared" si="34"/>
        <v>-3.2250000000000001E-2</v>
      </c>
      <c r="Q104" s="106">
        <f t="shared" si="22"/>
        <v>-0.129</v>
      </c>
      <c r="R104" s="26">
        <f t="shared" si="26"/>
        <v>0.874</v>
      </c>
      <c r="S104" s="106">
        <f t="shared" si="27"/>
        <v>-3.15E-2</v>
      </c>
      <c r="T104" s="18">
        <f t="shared" si="28"/>
        <v>-0.126</v>
      </c>
      <c r="Y104" s="61"/>
      <c r="Z104" s="61"/>
      <c r="AA104" s="61"/>
      <c r="AB104" s="38"/>
      <c r="AC104" s="65"/>
      <c r="AG104" s="64"/>
      <c r="AR104" s="66"/>
      <c r="AS104" s="62"/>
    </row>
    <row r="105" spans="1:45" x14ac:dyDescent="0.35">
      <c r="A105" s="22">
        <v>1985</v>
      </c>
      <c r="B105" s="43">
        <v>0.152</v>
      </c>
      <c r="C105" s="43">
        <f t="shared" si="25"/>
        <v>3.7999999999999999E-2</v>
      </c>
      <c r="D105" s="43">
        <f>'Consolidated underlying data'!E105</f>
        <v>0.14899999999999999</v>
      </c>
      <c r="E105" s="47">
        <f t="shared" si="29"/>
        <v>3.7249999999999998E-2</v>
      </c>
      <c r="F105" s="43">
        <f>'Consolidated underlying data'!F105</f>
        <v>8.2000000000000003E-2</v>
      </c>
      <c r="G105" s="23">
        <f>'Consolidated underlying data'!B105</f>
        <v>0.42099999999999999</v>
      </c>
      <c r="H105" s="24">
        <f t="shared" si="30"/>
        <v>0.31330868761552666</v>
      </c>
      <c r="I105" s="24">
        <f t="shared" si="23"/>
        <v>1.3133086876155267</v>
      </c>
      <c r="J105" s="25">
        <f t="shared" si="31"/>
        <v>1.272</v>
      </c>
      <c r="K105" s="23">
        <f>('Consolidated underlying data'!B105+'Consolidated underlying data'!J105*$M$1)</f>
        <v>0.42099999999999999</v>
      </c>
      <c r="L105" s="106">
        <f t="shared" si="18"/>
        <v>0.10525</v>
      </c>
      <c r="M105" s="30">
        <f t="shared" si="32"/>
        <v>0.31330868761552666</v>
      </c>
      <c r="N105" s="30">
        <f t="shared" si="24"/>
        <v>1.3133086876155267</v>
      </c>
      <c r="O105" s="106">
        <f t="shared" si="33"/>
        <v>1.272</v>
      </c>
      <c r="P105" s="106">
        <f t="shared" si="34"/>
        <v>6.8000000000000005E-2</v>
      </c>
      <c r="Q105" s="106">
        <f t="shared" si="22"/>
        <v>0.27200000000000002</v>
      </c>
      <c r="R105" s="26">
        <f t="shared" si="26"/>
        <v>1.2690000000000001</v>
      </c>
      <c r="S105" s="106">
        <f t="shared" si="27"/>
        <v>6.7250000000000004E-2</v>
      </c>
      <c r="T105" s="18">
        <f t="shared" si="28"/>
        <v>0.26900000000000002</v>
      </c>
      <c r="Y105" s="61"/>
      <c r="Z105" s="61"/>
      <c r="AA105" s="61"/>
      <c r="AB105" s="38"/>
      <c r="AC105" s="65"/>
      <c r="AG105" s="64"/>
      <c r="AR105" s="67"/>
      <c r="AS105" s="62"/>
    </row>
    <row r="106" spans="1:45" x14ac:dyDescent="0.35">
      <c r="A106" s="22">
        <v>1986</v>
      </c>
      <c r="B106" s="43">
        <v>0.13849999999999998</v>
      </c>
      <c r="C106" s="43">
        <f t="shared" si="25"/>
        <v>3.4624999999999996E-2</v>
      </c>
      <c r="D106" s="43">
        <f>'Consolidated underlying data'!E106</f>
        <v>0.13400000000000001</v>
      </c>
      <c r="E106" s="47">
        <f t="shared" si="29"/>
        <v>3.3500000000000002E-2</v>
      </c>
      <c r="F106" s="43">
        <f>'Consolidated underlying data'!F106</f>
        <v>9.8000000000000004E-2</v>
      </c>
      <c r="G106" s="23">
        <f>'Consolidated underlying data'!B106</f>
        <v>0.51100000000000001</v>
      </c>
      <c r="H106" s="24">
        <f t="shared" si="30"/>
        <v>0.37613843351548271</v>
      </c>
      <c r="I106" s="24">
        <f t="shared" si="23"/>
        <v>1.3761384335154827</v>
      </c>
      <c r="J106" s="25">
        <f t="shared" si="31"/>
        <v>1.377</v>
      </c>
      <c r="K106" s="23">
        <f>('Consolidated underlying data'!B106+'Consolidated underlying data'!J106*$M$1)</f>
        <v>0.51100000000000001</v>
      </c>
      <c r="L106" s="106">
        <f t="shared" si="18"/>
        <v>0.12775</v>
      </c>
      <c r="M106" s="30">
        <f t="shared" si="32"/>
        <v>0.37613843351548271</v>
      </c>
      <c r="N106" s="30">
        <f t="shared" si="24"/>
        <v>1.3761384335154827</v>
      </c>
      <c r="O106" s="106">
        <f t="shared" si="33"/>
        <v>1.377</v>
      </c>
      <c r="P106" s="106">
        <f t="shared" si="34"/>
        <v>9.425E-2</v>
      </c>
      <c r="Q106" s="106">
        <f t="shared" si="22"/>
        <v>0.377</v>
      </c>
      <c r="R106" s="26">
        <f t="shared" si="26"/>
        <v>1.3725000000000001</v>
      </c>
      <c r="S106" s="106">
        <f t="shared" si="27"/>
        <v>9.3125000000000013E-2</v>
      </c>
      <c r="T106" s="18">
        <f t="shared" si="28"/>
        <v>0.37250000000000005</v>
      </c>
      <c r="Y106" s="61"/>
      <c r="Z106" s="61"/>
      <c r="AA106" s="61"/>
      <c r="AB106" s="38"/>
      <c r="AC106" s="65"/>
      <c r="AG106" s="64"/>
      <c r="AR106" s="67"/>
      <c r="AS106" s="62"/>
    </row>
    <row r="107" spans="1:45" x14ac:dyDescent="0.35">
      <c r="A107" s="22">
        <v>1987</v>
      </c>
      <c r="B107" s="43">
        <v>0.1215</v>
      </c>
      <c r="C107" s="43">
        <f t="shared" si="25"/>
        <v>3.0374999999999999E-2</v>
      </c>
      <c r="D107" s="43">
        <f>'Consolidated underlying data'!E107</f>
        <v>0.129</v>
      </c>
      <c r="E107" s="47">
        <f t="shared" si="29"/>
        <v>3.2250000000000001E-2</v>
      </c>
      <c r="F107" s="43">
        <f>'Consolidated underlying data'!F107</f>
        <v>7.0999999999999994E-2</v>
      </c>
      <c r="G107" s="23">
        <f>'Consolidated underlying data'!B107</f>
        <v>-9.6000000000000002E-2</v>
      </c>
      <c r="H107" s="24">
        <f t="shared" si="30"/>
        <v>-0.15592903828197935</v>
      </c>
      <c r="I107" s="24">
        <f t="shared" si="23"/>
        <v>0.84407096171802065</v>
      </c>
      <c r="J107" s="25">
        <f t="shared" si="31"/>
        <v>0.77500000000000002</v>
      </c>
      <c r="K107" s="23">
        <f>('Consolidated underlying data'!B107+'Consolidated underlying data'!J107*$M$1)</f>
        <v>-9.6000000000000002E-2</v>
      </c>
      <c r="L107" s="106">
        <f t="shared" si="18"/>
        <v>-2.4E-2</v>
      </c>
      <c r="M107" s="30">
        <f t="shared" si="32"/>
        <v>-0.15592903828197935</v>
      </c>
      <c r="N107" s="30">
        <f t="shared" si="24"/>
        <v>0.84407096171802065</v>
      </c>
      <c r="O107" s="106">
        <f t="shared" si="33"/>
        <v>0.77500000000000002</v>
      </c>
      <c r="P107" s="106">
        <f t="shared" si="34"/>
        <v>-5.6250000000000001E-2</v>
      </c>
      <c r="Q107" s="106">
        <f t="shared" si="22"/>
        <v>-0.22500000000000001</v>
      </c>
      <c r="R107" s="26">
        <f t="shared" si="26"/>
        <v>0.78249999999999997</v>
      </c>
      <c r="S107" s="106">
        <f t="shared" si="27"/>
        <v>-5.4375E-2</v>
      </c>
      <c r="T107" s="18">
        <f t="shared" si="28"/>
        <v>-0.2175</v>
      </c>
      <c r="Y107" s="61"/>
      <c r="Z107" s="61"/>
      <c r="AA107" s="61"/>
      <c r="AB107" s="38"/>
      <c r="AC107" s="65"/>
      <c r="AG107" s="64"/>
      <c r="AR107" s="66"/>
      <c r="AS107" s="62"/>
    </row>
    <row r="108" spans="1:45" x14ac:dyDescent="0.35">
      <c r="A108" s="22">
        <v>1988</v>
      </c>
      <c r="B108" s="43">
        <v>0.13500000000000001</v>
      </c>
      <c r="C108" s="43">
        <f t="shared" si="25"/>
        <v>3.3750000000000002E-2</v>
      </c>
      <c r="D108" s="43">
        <f>'Consolidated underlying data'!E108</f>
        <v>0.13</v>
      </c>
      <c r="E108" s="47">
        <f t="shared" ref="E108:E142" si="35">D108/4</f>
        <v>3.2500000000000001E-2</v>
      </c>
      <c r="F108" s="43">
        <f>'Consolidated underlying data'!F108</f>
        <v>7.5999999999999998E-2</v>
      </c>
      <c r="G108" s="23">
        <f>'Consolidated underlying data'!B108</f>
        <v>0.21099999999999999</v>
      </c>
      <c r="H108" s="24">
        <f t="shared" si="30"/>
        <v>0.12546468401486988</v>
      </c>
      <c r="I108" s="24">
        <f t="shared" si="23"/>
        <v>1.1254646840148699</v>
      </c>
      <c r="J108" s="25">
        <f t="shared" si="31"/>
        <v>1.081</v>
      </c>
      <c r="K108" s="23">
        <f>('Consolidated underlying data'!B108+'Consolidated underlying data'!J108*$M$1)</f>
        <v>0.23441911764705881</v>
      </c>
      <c r="L108" s="106">
        <f t="shared" si="18"/>
        <v>5.8604779411764701E-2</v>
      </c>
      <c r="M108" s="30">
        <f t="shared" si="32"/>
        <v>0.14722966324076081</v>
      </c>
      <c r="N108" s="30">
        <f t="shared" ref="N108:N117" si="36">M108+1</f>
        <v>1.1472296632407608</v>
      </c>
      <c r="O108" s="106">
        <f t="shared" si="33"/>
        <v>1.1044191176470588</v>
      </c>
      <c r="P108" s="106">
        <f t="shared" si="34"/>
        <v>2.61047794117647E-2</v>
      </c>
      <c r="Q108" s="106">
        <f t="shared" si="22"/>
        <v>0.1044191176470588</v>
      </c>
      <c r="R108" s="26">
        <f t="shared" si="26"/>
        <v>1.0994191176470589</v>
      </c>
      <c r="S108" s="106">
        <f t="shared" si="27"/>
        <v>2.4854779411764699E-2</v>
      </c>
      <c r="T108" s="18">
        <f t="shared" si="28"/>
        <v>9.9419117647058797E-2</v>
      </c>
      <c r="U108" s="61"/>
      <c r="V108" s="61"/>
      <c r="W108" s="61"/>
      <c r="Y108" s="61"/>
      <c r="Z108" s="61"/>
      <c r="AA108" s="61"/>
      <c r="AB108" s="38"/>
      <c r="AC108" s="65"/>
      <c r="AE108" s="65"/>
      <c r="AG108" s="64"/>
      <c r="AR108" s="66"/>
      <c r="AS108" s="62"/>
    </row>
    <row r="109" spans="1:45" x14ac:dyDescent="0.35">
      <c r="A109" s="22">
        <v>1989</v>
      </c>
      <c r="B109" s="43">
        <v>0.13449999999999998</v>
      </c>
      <c r="C109" s="43">
        <f t="shared" si="25"/>
        <v>3.3624999999999995E-2</v>
      </c>
      <c r="D109" s="43">
        <f>'Consolidated underlying data'!E109</f>
        <v>0.129</v>
      </c>
      <c r="E109" s="47">
        <f t="shared" si="35"/>
        <v>3.2250000000000001E-2</v>
      </c>
      <c r="F109" s="43">
        <f>'Consolidated underlying data'!F109</f>
        <v>7.8E-2</v>
      </c>
      <c r="G109" s="23">
        <f>'Consolidated underlying data'!B109</f>
        <v>0.17899999999999999</v>
      </c>
      <c r="H109" s="24">
        <f t="shared" si="30"/>
        <v>9.3692022263450747E-2</v>
      </c>
      <c r="I109" s="24">
        <f t="shared" si="23"/>
        <v>1.0936920222634507</v>
      </c>
      <c r="J109" s="25">
        <f t="shared" si="31"/>
        <v>1.05</v>
      </c>
      <c r="K109" s="23">
        <f>('Consolidated underlying data'!B109+'Consolidated underlying data'!J109*$M$1)</f>
        <v>0.19957090163934427</v>
      </c>
      <c r="L109" s="106">
        <f t="shared" si="18"/>
        <v>4.9892725409836067E-2</v>
      </c>
      <c r="M109" s="30">
        <f t="shared" si="32"/>
        <v>0.11277449131664596</v>
      </c>
      <c r="N109" s="30">
        <f t="shared" si="36"/>
        <v>1.112774491316646</v>
      </c>
      <c r="O109" s="106">
        <f t="shared" si="33"/>
        <v>1.0705709016393443</v>
      </c>
      <c r="P109" s="106">
        <f t="shared" si="34"/>
        <v>1.7642725409836066E-2</v>
      </c>
      <c r="Q109" s="106">
        <f t="shared" si="22"/>
        <v>7.0570901639344263E-2</v>
      </c>
      <c r="R109" s="26">
        <f t="shared" si="26"/>
        <v>1.0650709016393443</v>
      </c>
      <c r="S109" s="106">
        <f t="shared" si="27"/>
        <v>1.6267725409836072E-2</v>
      </c>
      <c r="T109" s="18">
        <f t="shared" si="28"/>
        <v>6.5070901639344286E-2</v>
      </c>
      <c r="U109" s="61"/>
      <c r="V109" s="61"/>
      <c r="W109" s="61"/>
      <c r="Y109" s="61"/>
      <c r="Z109" s="61"/>
      <c r="AA109" s="61"/>
      <c r="AB109" s="38"/>
      <c r="AC109" s="65"/>
      <c r="AE109" s="65"/>
      <c r="AG109" s="64"/>
      <c r="AR109" s="66"/>
      <c r="AS109" s="62"/>
    </row>
    <row r="110" spans="1:45" x14ac:dyDescent="0.35">
      <c r="A110" s="22">
        <v>1990</v>
      </c>
      <c r="B110" s="43">
        <v>0.11990000000000001</v>
      </c>
      <c r="C110" s="43">
        <f t="shared" si="25"/>
        <v>2.9975000000000002E-2</v>
      </c>
      <c r="D110" s="43">
        <f>'Consolidated underlying data'!E110</f>
        <v>0.121</v>
      </c>
      <c r="E110" s="47">
        <f t="shared" si="35"/>
        <v>3.0249999999999999E-2</v>
      </c>
      <c r="F110" s="43">
        <f>'Consolidated underlying data'!F110</f>
        <v>6.9000000000000006E-2</v>
      </c>
      <c r="G110" s="23">
        <f>'Consolidated underlying data'!B110</f>
        <v>-0.153</v>
      </c>
      <c r="H110" s="24">
        <f t="shared" si="30"/>
        <v>-0.20767072029934519</v>
      </c>
      <c r="I110" s="24">
        <f t="shared" si="23"/>
        <v>0.79232927970065481</v>
      </c>
      <c r="J110" s="25">
        <f t="shared" si="31"/>
        <v>0.72599999999999998</v>
      </c>
      <c r="K110" s="23">
        <f>('Consolidated underlying data'!B110+'Consolidated underlying data'!J110*$M$1)</f>
        <v>-0.13803934426229508</v>
      </c>
      <c r="L110" s="106">
        <f t="shared" si="18"/>
        <v>-3.4509836065573771E-2</v>
      </c>
      <c r="M110" s="30">
        <f t="shared" si="32"/>
        <v>-0.19367571960925645</v>
      </c>
      <c r="N110" s="30">
        <f t="shared" si="36"/>
        <v>0.80632428039074355</v>
      </c>
      <c r="O110" s="106">
        <f t="shared" si="33"/>
        <v>0.74096065573770487</v>
      </c>
      <c r="P110" s="106">
        <f t="shared" si="34"/>
        <v>-6.475983606557377E-2</v>
      </c>
      <c r="Q110" s="106">
        <f t="shared" si="22"/>
        <v>-0.25903934426229508</v>
      </c>
      <c r="R110" s="26">
        <f t="shared" si="26"/>
        <v>0.74206065573770497</v>
      </c>
      <c r="S110" s="106">
        <f t="shared" si="27"/>
        <v>-6.4484836065573772E-2</v>
      </c>
      <c r="T110" s="18">
        <f t="shared" si="28"/>
        <v>-0.25793934426229509</v>
      </c>
      <c r="U110" s="61"/>
      <c r="V110" s="61"/>
      <c r="W110" s="61"/>
      <c r="Y110" s="61"/>
      <c r="Z110" s="61"/>
      <c r="AA110" s="61"/>
      <c r="AB110" s="38"/>
      <c r="AC110" s="65"/>
      <c r="AG110" s="64"/>
      <c r="AR110" s="66"/>
      <c r="AS110" s="62"/>
    </row>
    <row r="111" spans="1:45" x14ac:dyDescent="0.35">
      <c r="A111" s="22">
        <v>1991</v>
      </c>
      <c r="B111" s="43">
        <v>8.2200000000000009E-2</v>
      </c>
      <c r="C111" s="43">
        <f t="shared" si="25"/>
        <v>2.0550000000000002E-2</v>
      </c>
      <c r="D111" s="43">
        <f>'Consolidated underlying data'!E111</f>
        <v>9.4E-2</v>
      </c>
      <c r="E111" s="47">
        <f t="shared" si="35"/>
        <v>2.35E-2</v>
      </c>
      <c r="F111" s="43">
        <f>'Consolidated underlying data'!F111</f>
        <v>1.4999999999999999E-2</v>
      </c>
      <c r="G111" s="23">
        <f>'Consolidated underlying data'!B111</f>
        <v>0.27500000000000002</v>
      </c>
      <c r="H111" s="24">
        <f t="shared" si="30"/>
        <v>0.25615763546798043</v>
      </c>
      <c r="I111" s="24">
        <f t="shared" si="23"/>
        <v>1.2561576354679804</v>
      </c>
      <c r="J111" s="25">
        <f t="shared" si="31"/>
        <v>1.181</v>
      </c>
      <c r="K111" s="23">
        <f>('Consolidated underlying data'!B111+'Consolidated underlying data'!J111*$M$1)</f>
        <v>0.2915190573770492</v>
      </c>
      <c r="L111" s="106">
        <f t="shared" si="18"/>
        <v>7.2879764344262299E-2</v>
      </c>
      <c r="M111" s="30">
        <f t="shared" si="32"/>
        <v>0.2724325688443836</v>
      </c>
      <c r="N111" s="30">
        <f t="shared" si="36"/>
        <v>1.2724325688443836</v>
      </c>
      <c r="O111" s="106">
        <f t="shared" si="33"/>
        <v>1.1975190573770491</v>
      </c>
      <c r="P111" s="106">
        <f t="shared" si="34"/>
        <v>4.9379764344262299E-2</v>
      </c>
      <c r="Q111" s="106">
        <f t="shared" si="22"/>
        <v>0.1975190573770492</v>
      </c>
      <c r="R111" s="26">
        <f t="shared" si="26"/>
        <v>1.2093190573770491</v>
      </c>
      <c r="S111" s="106">
        <f t="shared" si="27"/>
        <v>5.23297643442623E-2</v>
      </c>
      <c r="T111" s="18">
        <f t="shared" si="28"/>
        <v>0.2093190573770492</v>
      </c>
      <c r="U111" s="61"/>
      <c r="V111" s="61"/>
      <c r="W111" s="61"/>
      <c r="Y111" s="61"/>
      <c r="Z111" s="61"/>
      <c r="AA111" s="61"/>
      <c r="AB111" s="38"/>
      <c r="AC111" s="65"/>
      <c r="AG111" s="64"/>
      <c r="AR111" s="66"/>
      <c r="AS111" s="62"/>
    </row>
    <row r="112" spans="1:45" x14ac:dyDescent="0.35">
      <c r="A112" s="22">
        <v>1992</v>
      </c>
      <c r="B112" s="43">
        <v>8.2400000000000001E-2</v>
      </c>
      <c r="C112" s="43">
        <f t="shared" si="25"/>
        <v>2.06E-2</v>
      </c>
      <c r="D112" s="43">
        <f>'Consolidated underlying data'!E112</f>
        <v>8.8999999999999996E-2</v>
      </c>
      <c r="E112" s="47">
        <f t="shared" si="35"/>
        <v>2.2249999999999999E-2</v>
      </c>
      <c r="F112" s="43">
        <f>'Consolidated underlying data'!F112</f>
        <v>3.0000000000000001E-3</v>
      </c>
      <c r="G112" s="23">
        <f>'Consolidated underlying data'!B112</f>
        <v>-2.1999999999999999E-2</v>
      </c>
      <c r="H112" s="24">
        <f t="shared" si="30"/>
        <v>-2.4925224327018825E-2</v>
      </c>
      <c r="I112" s="24">
        <f t="shared" si="23"/>
        <v>0.97507477567298118</v>
      </c>
      <c r="J112" s="25">
        <f t="shared" si="31"/>
        <v>0.88900000000000001</v>
      </c>
      <c r="K112" s="23">
        <f>('Consolidated underlying data'!B112+'Consolidated underlying data'!J112*$M$1)</f>
        <v>-1.0156147540983604E-2</v>
      </c>
      <c r="L112" s="106">
        <f t="shared" si="18"/>
        <v>-2.539036885245901E-3</v>
      </c>
      <c r="M112" s="30">
        <f t="shared" si="32"/>
        <v>-1.3116797149534842E-2</v>
      </c>
      <c r="N112" s="30">
        <f t="shared" si="36"/>
        <v>0.98688320285046516</v>
      </c>
      <c r="O112" s="106">
        <f t="shared" si="33"/>
        <v>0.90084385245901644</v>
      </c>
      <c r="P112" s="106">
        <f t="shared" si="34"/>
        <v>-2.4789036885245901E-2</v>
      </c>
      <c r="Q112" s="106">
        <f t="shared" si="22"/>
        <v>-9.9156147540983605E-2</v>
      </c>
      <c r="R112" s="26">
        <f t="shared" si="26"/>
        <v>0.90744385245901638</v>
      </c>
      <c r="S112" s="106">
        <f t="shared" si="27"/>
        <v>-2.3139036885245903E-2</v>
      </c>
      <c r="T112" s="18">
        <f t="shared" si="28"/>
        <v>-9.255614754098361E-2</v>
      </c>
      <c r="U112" s="61"/>
      <c r="V112" s="61"/>
      <c r="W112" s="61"/>
      <c r="Y112" s="61"/>
      <c r="Z112" s="61"/>
      <c r="AA112" s="61"/>
      <c r="AB112" s="38"/>
      <c r="AC112" s="65"/>
      <c r="AG112" s="64"/>
      <c r="AR112" s="66"/>
      <c r="AS112" s="62"/>
    </row>
    <row r="113" spans="1:45" x14ac:dyDescent="0.35">
      <c r="A113" s="22">
        <v>1993</v>
      </c>
      <c r="B113" s="43">
        <v>6.1699999999999998E-2</v>
      </c>
      <c r="C113" s="43">
        <f t="shared" si="25"/>
        <v>1.5424999999999999E-2</v>
      </c>
      <c r="D113" s="43">
        <f>'Consolidated underlying data'!E113</f>
        <v>6.7000000000000004E-2</v>
      </c>
      <c r="E113" s="47">
        <f t="shared" si="35"/>
        <v>1.6750000000000001E-2</v>
      </c>
      <c r="F113" s="43">
        <f>'Consolidated underlying data'!F113</f>
        <v>1.9E-2</v>
      </c>
      <c r="G113" s="23">
        <f>'Consolidated underlying data'!B113</f>
        <v>0.442</v>
      </c>
      <c r="H113" s="24">
        <f t="shared" si="30"/>
        <v>0.41511285574092249</v>
      </c>
      <c r="I113" s="24">
        <f t="shared" si="23"/>
        <v>1.4151128557409225</v>
      </c>
      <c r="J113" s="25">
        <f t="shared" si="31"/>
        <v>1.375</v>
      </c>
      <c r="K113" s="23">
        <f>('Consolidated underlying data'!B113+'Consolidated underlying data'!J113*$M$1)</f>
        <v>0.45424570895522387</v>
      </c>
      <c r="L113" s="106">
        <f t="shared" si="18"/>
        <v>0.11356142723880597</v>
      </c>
      <c r="M113" s="30">
        <f t="shared" si="32"/>
        <v>0.4271302344997292</v>
      </c>
      <c r="N113" s="30">
        <f t="shared" si="36"/>
        <v>1.4271302344997292</v>
      </c>
      <c r="O113" s="106">
        <f t="shared" si="33"/>
        <v>1.3872457089552239</v>
      </c>
      <c r="P113" s="106">
        <f t="shared" si="34"/>
        <v>9.6811427238805967E-2</v>
      </c>
      <c r="Q113" s="106">
        <f t="shared" si="22"/>
        <v>0.38724570895522387</v>
      </c>
      <c r="R113" s="26">
        <f t="shared" si="26"/>
        <v>1.392545708955224</v>
      </c>
      <c r="S113" s="106">
        <f t="shared" si="27"/>
        <v>9.8136427238805973E-2</v>
      </c>
      <c r="T113" s="18">
        <f t="shared" si="28"/>
        <v>0.39254570895522389</v>
      </c>
      <c r="U113" s="61"/>
      <c r="V113" s="61"/>
      <c r="W113" s="61"/>
      <c r="Y113" s="61"/>
      <c r="Z113" s="61"/>
      <c r="AA113" s="61"/>
      <c r="AB113" s="38"/>
      <c r="AC113" s="65"/>
      <c r="AG113" s="64"/>
      <c r="AR113" s="66"/>
      <c r="AS113" s="62"/>
    </row>
    <row r="114" spans="1:45" x14ac:dyDescent="0.35">
      <c r="A114" s="22">
        <v>1994</v>
      </c>
      <c r="B114" s="43">
        <v>0.10060000000000001</v>
      </c>
      <c r="C114" s="43">
        <f t="shared" si="25"/>
        <v>2.5150000000000002E-2</v>
      </c>
      <c r="D114" s="43">
        <f>'Consolidated underlying data'!E114</f>
        <v>0.1</v>
      </c>
      <c r="E114" s="47">
        <f t="shared" si="35"/>
        <v>2.5000000000000001E-2</v>
      </c>
      <c r="F114" s="43">
        <f>'Consolidated underlying data'!F114</f>
        <v>2.5000000000000001E-2</v>
      </c>
      <c r="G114" s="23">
        <f>'Consolidated underlying data'!B114</f>
        <v>-5.8000000000000003E-2</v>
      </c>
      <c r="H114" s="24">
        <f t="shared" si="30"/>
        <v>-8.0975609756097522E-2</v>
      </c>
      <c r="I114" s="24">
        <f t="shared" si="23"/>
        <v>0.91902439024390248</v>
      </c>
      <c r="J114" s="25">
        <f t="shared" si="31"/>
        <v>0.84199999999999997</v>
      </c>
      <c r="K114" s="23">
        <f>('Consolidated underlying data'!B114+'Consolidated underlying data'!J114*$M$1)</f>
        <v>-4.9836194029850747E-2</v>
      </c>
      <c r="L114" s="106">
        <f t="shared" si="18"/>
        <v>-1.2459048507462687E-2</v>
      </c>
      <c r="M114" s="30">
        <f t="shared" si="32"/>
        <v>-7.3010921004732388E-2</v>
      </c>
      <c r="N114" s="30">
        <f t="shared" si="36"/>
        <v>0.92698907899526761</v>
      </c>
      <c r="O114" s="106">
        <f t="shared" si="33"/>
        <v>0.85016380597014929</v>
      </c>
      <c r="P114" s="106">
        <f t="shared" si="34"/>
        <v>-3.7459048507462692E-2</v>
      </c>
      <c r="Q114" s="106">
        <f t="shared" si="22"/>
        <v>-0.14983619402985077</v>
      </c>
      <c r="R114" s="26">
        <f t="shared" si="26"/>
        <v>0.84956380597014924</v>
      </c>
      <c r="S114" s="106">
        <f t="shared" si="27"/>
        <v>-3.7609048507462689E-2</v>
      </c>
      <c r="T114" s="18">
        <f t="shared" si="28"/>
        <v>-0.15043619402985076</v>
      </c>
      <c r="U114" s="61"/>
      <c r="V114" s="61"/>
      <c r="W114" s="61"/>
      <c r="Y114" s="61"/>
      <c r="Z114" s="61"/>
      <c r="AA114" s="61"/>
      <c r="AB114" s="38"/>
      <c r="AC114" s="65"/>
      <c r="AG114" s="64"/>
      <c r="AR114" s="66"/>
      <c r="AS114" s="62"/>
    </row>
    <row r="115" spans="1:45" x14ac:dyDescent="0.35">
      <c r="A115" s="22">
        <v>1995</v>
      </c>
      <c r="B115" s="43">
        <v>7.8526315789473694E-2</v>
      </c>
      <c r="C115" s="43">
        <f t="shared" si="25"/>
        <v>1.9631578947368424E-2</v>
      </c>
      <c r="D115" s="43">
        <f>'Consolidated underlying data'!E115</f>
        <v>8.2000000000000003E-2</v>
      </c>
      <c r="E115" s="47">
        <f t="shared" si="35"/>
        <v>2.0500000000000001E-2</v>
      </c>
      <c r="F115" s="43">
        <f>'Consolidated underlying data'!F115</f>
        <v>5.0999999999999997E-2</v>
      </c>
      <c r="G115" s="23">
        <f>'Consolidated underlying data'!B115</f>
        <v>0.215</v>
      </c>
      <c r="H115" s="24">
        <f t="shared" si="30"/>
        <v>0.15604186489058058</v>
      </c>
      <c r="I115" s="24">
        <f t="shared" si="23"/>
        <v>1.1560418648905806</v>
      </c>
      <c r="J115" s="25">
        <f t="shared" si="31"/>
        <v>1.133</v>
      </c>
      <c r="K115" s="23">
        <f>('Consolidated underlying data'!B115+'Consolidated underlying data'!J115*$M$1)</f>
        <v>0.22871093749999999</v>
      </c>
      <c r="L115" s="106">
        <f t="shared" si="18"/>
        <v>5.7177734374999997E-2</v>
      </c>
      <c r="M115" s="30">
        <f t="shared" si="32"/>
        <v>0.16908747621313047</v>
      </c>
      <c r="N115" s="30">
        <f t="shared" si="36"/>
        <v>1.1690874762131305</v>
      </c>
      <c r="O115" s="106">
        <f t="shared" si="33"/>
        <v>1.1467109375</v>
      </c>
      <c r="P115" s="106">
        <f t="shared" si="34"/>
        <v>3.6677734374999993E-2</v>
      </c>
      <c r="Q115" s="106">
        <f t="shared" si="22"/>
        <v>0.14671093749999997</v>
      </c>
      <c r="R115" s="26">
        <f t="shared" si="26"/>
        <v>1.1501846217105263</v>
      </c>
      <c r="S115" s="106">
        <f t="shared" si="27"/>
        <v>3.7546155427631574E-2</v>
      </c>
      <c r="T115" s="18">
        <f t="shared" si="28"/>
        <v>0.15018462171052629</v>
      </c>
      <c r="U115" s="61"/>
      <c r="V115" s="61"/>
      <c r="W115" s="61"/>
      <c r="Y115" s="61"/>
      <c r="Z115" s="61"/>
      <c r="AA115" s="61"/>
      <c r="AB115" s="38"/>
      <c r="AC115" s="65"/>
      <c r="AG115" s="64"/>
      <c r="AR115" s="66"/>
    </row>
    <row r="116" spans="1:45" x14ac:dyDescent="0.35">
      <c r="A116" s="22">
        <v>1996</v>
      </c>
      <c r="B116" s="43">
        <v>6.9264999999999993E-2</v>
      </c>
      <c r="C116" s="43">
        <f t="shared" si="25"/>
        <v>1.7316249999999998E-2</v>
      </c>
      <c r="D116" s="43">
        <f>'Consolidated underlying data'!E116</f>
        <v>7.3999999999999996E-2</v>
      </c>
      <c r="E116" s="47">
        <f t="shared" si="35"/>
        <v>1.8499999999999999E-2</v>
      </c>
      <c r="F116" s="43">
        <f>'Consolidated underlying data'!F116</f>
        <v>1.4999999999999999E-2</v>
      </c>
      <c r="G116" s="23">
        <f>'Consolidated underlying data'!B116</f>
        <v>0.11700000000000001</v>
      </c>
      <c r="H116" s="24">
        <f t="shared" si="30"/>
        <v>0.10049261083743843</v>
      </c>
      <c r="I116" s="24">
        <f t="shared" si="23"/>
        <v>1.1004926108374384</v>
      </c>
      <c r="J116" s="25">
        <f t="shared" si="31"/>
        <v>1.0429999999999999</v>
      </c>
      <c r="K116" s="23">
        <f>('Consolidated underlying data'!B116+'Consolidated underlying data'!J116*$M$1)</f>
        <v>0.12933984375000002</v>
      </c>
      <c r="L116" s="106">
        <f t="shared" si="18"/>
        <v>3.2334960937500004E-2</v>
      </c>
      <c r="M116" s="30">
        <f t="shared" si="32"/>
        <v>0.11265009236453216</v>
      </c>
      <c r="N116" s="30">
        <f t="shared" si="36"/>
        <v>1.1126500923645322</v>
      </c>
      <c r="O116" s="106">
        <f t="shared" si="33"/>
        <v>1.0553398437500001</v>
      </c>
      <c r="P116" s="106">
        <f t="shared" si="34"/>
        <v>1.3834960937500005E-2</v>
      </c>
      <c r="Q116" s="106">
        <f t="shared" si="22"/>
        <v>5.533984375000002E-2</v>
      </c>
      <c r="R116" s="26">
        <f t="shared" si="26"/>
        <v>1.0600748437500001</v>
      </c>
      <c r="S116" s="106">
        <f t="shared" si="27"/>
        <v>1.5018710937500006E-2</v>
      </c>
      <c r="T116" s="18">
        <f t="shared" si="28"/>
        <v>6.0074843750000023E-2</v>
      </c>
      <c r="U116" s="61"/>
      <c r="V116" s="61"/>
      <c r="W116" s="61"/>
      <c r="Y116" s="61"/>
      <c r="Z116" s="61"/>
      <c r="AA116" s="61"/>
      <c r="AB116" s="38"/>
      <c r="AC116" s="65"/>
      <c r="AG116" s="64"/>
      <c r="AR116" s="66"/>
    </row>
    <row r="117" spans="1:45" x14ac:dyDescent="0.35">
      <c r="A117" s="22">
        <v>1997</v>
      </c>
      <c r="B117" s="43">
        <v>5.8257142857142855E-2</v>
      </c>
      <c r="C117" s="43">
        <f t="shared" si="25"/>
        <v>1.4564285714285714E-2</v>
      </c>
      <c r="D117" s="43">
        <f>'Consolidated underlying data'!E117</f>
        <v>6.0999999999999999E-2</v>
      </c>
      <c r="E117" s="47">
        <f t="shared" si="35"/>
        <v>1.525E-2</v>
      </c>
      <c r="F117" s="43">
        <f>'Consolidated underlying data'!F117</f>
        <v>-2E-3</v>
      </c>
      <c r="G117" s="23">
        <f>'Consolidated underlying data'!B117</f>
        <v>0.124</v>
      </c>
      <c r="H117" s="24">
        <f t="shared" si="30"/>
        <v>0.12625250501002006</v>
      </c>
      <c r="I117" s="24">
        <f t="shared" si="23"/>
        <v>1.1262525050100201</v>
      </c>
      <c r="J117" s="25">
        <f t="shared" si="31"/>
        <v>1.0629999999999999</v>
      </c>
      <c r="K117" s="23">
        <f>('Consolidated underlying data'!B117+'Consolidated underlying data'!J117*$M$1)</f>
        <v>0.13633984374999999</v>
      </c>
      <c r="L117" s="106">
        <f t="shared" si="18"/>
        <v>3.4084960937499999E-2</v>
      </c>
      <c r="M117" s="30">
        <f t="shared" si="32"/>
        <v>0.13861707790581179</v>
      </c>
      <c r="N117" s="30">
        <f t="shared" si="36"/>
        <v>1.1386170779058118</v>
      </c>
      <c r="O117" s="106">
        <f t="shared" si="33"/>
        <v>1.0753398437499999</v>
      </c>
      <c r="P117" s="106">
        <f t="shared" si="34"/>
        <v>1.8834960937499999E-2</v>
      </c>
      <c r="Q117" s="106">
        <f t="shared" si="22"/>
        <v>7.5339843749999996E-2</v>
      </c>
      <c r="R117" s="26">
        <f t="shared" si="26"/>
        <v>1.0780827008928571</v>
      </c>
      <c r="S117" s="106">
        <f t="shared" si="27"/>
        <v>1.9520675223214285E-2</v>
      </c>
      <c r="T117" s="18">
        <f t="shared" si="28"/>
        <v>7.808270089285714E-2</v>
      </c>
      <c r="U117" s="61"/>
      <c r="V117" s="61"/>
      <c r="W117" s="61"/>
      <c r="Y117" s="61"/>
      <c r="Z117" s="61"/>
      <c r="AA117" s="61"/>
      <c r="AB117" s="38"/>
      <c r="AC117" s="65"/>
      <c r="AG117" s="64"/>
    </row>
    <row r="118" spans="1:45" x14ac:dyDescent="0.35">
      <c r="A118" s="22">
        <v>1998</v>
      </c>
      <c r="B118" s="43">
        <v>4.6104761904761905E-2</v>
      </c>
      <c r="C118" s="43">
        <f t="shared" si="25"/>
        <v>1.1526190476190476E-2</v>
      </c>
      <c r="D118" s="43">
        <f>'Consolidated underlying data'!E118</f>
        <v>0.05</v>
      </c>
      <c r="E118" s="47">
        <f t="shared" si="35"/>
        <v>1.2500000000000001E-2</v>
      </c>
      <c r="F118" s="43">
        <f>'Consolidated underlying data'!F118</f>
        <v>1.6E-2</v>
      </c>
      <c r="G118" s="23">
        <f>'Consolidated underlying data'!B118</f>
        <v>0.11899999999999999</v>
      </c>
      <c r="H118" s="24">
        <f t="shared" si="30"/>
        <v>0.10137795275590555</v>
      </c>
      <c r="I118" s="24">
        <f t="shared" si="23"/>
        <v>1.1013779527559056</v>
      </c>
      <c r="J118" s="25">
        <f t="shared" si="31"/>
        <v>1.069</v>
      </c>
      <c r="K118" s="23">
        <f>('Consolidated underlying data'!B118+'Consolidated underlying data'!J118*$M$1)</f>
        <v>0.128165</v>
      </c>
      <c r="L118" s="106">
        <f t="shared" si="18"/>
        <v>3.204125E-2</v>
      </c>
      <c r="M118" s="30">
        <f t="shared" si="32"/>
        <v>0.11039862204724415</v>
      </c>
      <c r="N118" s="30">
        <f t="shared" si="24"/>
        <v>1.1103986220472442</v>
      </c>
      <c r="O118" s="106">
        <f t="shared" si="33"/>
        <v>1.078165</v>
      </c>
      <c r="P118" s="106">
        <f t="shared" si="34"/>
        <v>1.954125E-2</v>
      </c>
      <c r="Q118" s="106">
        <f t="shared" si="22"/>
        <v>7.8164999999999998E-2</v>
      </c>
      <c r="R118" s="26">
        <f t="shared" si="26"/>
        <v>1.082060238095238</v>
      </c>
      <c r="S118" s="106">
        <f t="shared" si="27"/>
        <v>2.0515059523809526E-2</v>
      </c>
      <c r="T118" s="18">
        <f t="shared" si="28"/>
        <v>8.2060238095238103E-2</v>
      </c>
      <c r="U118" s="61"/>
      <c r="V118" s="61"/>
      <c r="W118" s="61"/>
      <c r="Y118" s="61"/>
      <c r="Z118" s="61"/>
      <c r="AA118" s="61"/>
      <c r="AB118" s="38"/>
      <c r="AC118" s="65"/>
      <c r="AG118" s="64"/>
    </row>
    <row r="119" spans="1:45" x14ac:dyDescent="0.35">
      <c r="A119" s="22">
        <v>1999</v>
      </c>
      <c r="B119" s="43">
        <v>6.4880952380952386E-2</v>
      </c>
      <c r="C119" s="43">
        <f t="shared" si="25"/>
        <v>1.6220238095238097E-2</v>
      </c>
      <c r="D119" s="43">
        <f>'Consolidated underlying data'!E119</f>
        <v>7.0000000000000007E-2</v>
      </c>
      <c r="E119" s="47">
        <f t="shared" si="35"/>
        <v>1.7500000000000002E-2</v>
      </c>
      <c r="F119" s="43">
        <f>'Consolidated underlying data'!F119</f>
        <v>1.7999999999999999E-2</v>
      </c>
      <c r="G119" s="23">
        <f>'Consolidated underlying data'!B119</f>
        <v>0.17599999999999999</v>
      </c>
      <c r="H119" s="24">
        <f t="shared" si="30"/>
        <v>0.15520628683693505</v>
      </c>
      <c r="I119" s="24">
        <f t="shared" si="23"/>
        <v>1.155206286836935</v>
      </c>
      <c r="J119" s="25">
        <f t="shared" si="31"/>
        <v>1.1059999999999999</v>
      </c>
      <c r="K119" s="23">
        <f>('Consolidated underlying data'!B119+'Consolidated underlying data'!J119*$M$1)</f>
        <v>0.18451499999999998</v>
      </c>
      <c r="L119" s="106">
        <f t="shared" si="18"/>
        <v>4.6128749999999996E-2</v>
      </c>
      <c r="M119" s="30">
        <f t="shared" si="32"/>
        <v>0.16357072691552066</v>
      </c>
      <c r="N119" s="30">
        <f t="shared" si="24"/>
        <v>1.1635707269155207</v>
      </c>
      <c r="O119" s="106">
        <f t="shared" si="33"/>
        <v>1.1145149999999999</v>
      </c>
      <c r="P119" s="106">
        <f t="shared" si="34"/>
        <v>2.8628749999999994E-2</v>
      </c>
      <c r="Q119" s="106">
        <f t="shared" si="22"/>
        <v>0.11451499999999998</v>
      </c>
      <c r="R119" s="26">
        <f t="shared" si="26"/>
        <v>1.1196340476190476</v>
      </c>
      <c r="S119" s="106">
        <f t="shared" si="27"/>
        <v>2.99085119047619E-2</v>
      </c>
      <c r="T119" s="18">
        <f t="shared" si="28"/>
        <v>0.1196340476190476</v>
      </c>
      <c r="U119" s="61"/>
      <c r="V119" s="61"/>
      <c r="W119" s="61"/>
      <c r="Y119" s="61"/>
      <c r="Z119" s="61"/>
      <c r="AA119" s="61"/>
      <c r="AB119" s="38"/>
      <c r="AC119" s="65"/>
      <c r="AG119" s="64"/>
    </row>
    <row r="120" spans="1:45" x14ac:dyDescent="0.35">
      <c r="A120" s="22">
        <v>2000</v>
      </c>
      <c r="B120" s="43">
        <v>5.4371052631578938E-2</v>
      </c>
      <c r="C120" s="43">
        <f t="shared" si="25"/>
        <v>1.3592763157894735E-2</v>
      </c>
      <c r="D120" s="43">
        <f>'Consolidated underlying data'!E120</f>
        <v>5.5E-2</v>
      </c>
      <c r="E120" s="47">
        <f t="shared" si="35"/>
        <v>1.375E-2</v>
      </c>
      <c r="F120" s="43">
        <f>'Consolidated underlying data'!F120</f>
        <v>5.8000000000000003E-2</v>
      </c>
      <c r="G120" s="23">
        <f>'Consolidated underlying data'!B120</f>
        <v>6.5000000000000002E-2</v>
      </c>
      <c r="H120" s="24">
        <f t="shared" si="30"/>
        <v>6.6162570888468331E-3</v>
      </c>
      <c r="I120" s="24">
        <f t="shared" si="23"/>
        <v>1.0066162570888468</v>
      </c>
      <c r="J120" s="25">
        <f t="shared" si="31"/>
        <v>1.01</v>
      </c>
      <c r="K120" s="23">
        <f>('Consolidated underlying data'!B120+'Consolidated underlying data'!J120*$M$1)</f>
        <v>7.3775000000000007E-2</v>
      </c>
      <c r="L120" s="106">
        <f t="shared" si="18"/>
        <v>1.8443750000000002E-2</v>
      </c>
      <c r="M120" s="30">
        <f t="shared" si="32"/>
        <v>1.491020793950848E-2</v>
      </c>
      <c r="N120" s="30">
        <f t="shared" si="24"/>
        <v>1.0149102079395085</v>
      </c>
      <c r="O120" s="106">
        <f t="shared" si="33"/>
        <v>1.018775</v>
      </c>
      <c r="P120" s="106">
        <f t="shared" si="34"/>
        <v>4.6937500000000017E-3</v>
      </c>
      <c r="Q120" s="106">
        <f t="shared" si="22"/>
        <v>1.8775000000000007E-2</v>
      </c>
      <c r="R120" s="26">
        <f t="shared" si="26"/>
        <v>1.0194039473684211</v>
      </c>
      <c r="S120" s="106">
        <f t="shared" si="27"/>
        <v>4.8509868421052673E-3</v>
      </c>
      <c r="T120" s="18">
        <f t="shared" si="28"/>
        <v>1.9403947368421069E-2</v>
      </c>
      <c r="U120" s="61"/>
      <c r="V120" s="61"/>
      <c r="W120" s="61"/>
      <c r="Y120" s="61"/>
      <c r="Z120" s="61"/>
      <c r="AA120" s="61"/>
      <c r="AB120" s="38"/>
      <c r="AC120" s="65"/>
      <c r="AG120" s="64"/>
    </row>
    <row r="121" spans="1:45" x14ac:dyDescent="0.35">
      <c r="A121" s="22">
        <v>2001</v>
      </c>
      <c r="B121" s="43">
        <v>5.3278947368421044E-2</v>
      </c>
      <c r="C121" s="43">
        <f t="shared" si="25"/>
        <v>1.3319736842105261E-2</v>
      </c>
      <c r="D121" s="43">
        <f>'Consolidated underlying data'!E121</f>
        <v>0.06</v>
      </c>
      <c r="E121" s="47">
        <f t="shared" si="35"/>
        <v>1.4999999999999999E-2</v>
      </c>
      <c r="F121" s="43">
        <f>'Consolidated underlying data'!F121</f>
        <v>3.1E-2</v>
      </c>
      <c r="G121" s="23">
        <f>'Consolidated underlying data'!B121</f>
        <v>6.0999999999999999E-2</v>
      </c>
      <c r="H121" s="24">
        <f t="shared" si="30"/>
        <v>2.9097963142580063E-2</v>
      </c>
      <c r="I121" s="24">
        <f t="shared" si="23"/>
        <v>1.0290979631425801</v>
      </c>
      <c r="J121" s="25">
        <f t="shared" si="31"/>
        <v>1.0009999999999999</v>
      </c>
      <c r="K121" s="23">
        <f>('Consolidated underlying data'!B121+'Consolidated underlying data'!J121*$M$1)</f>
        <v>6.9385000000000002E-2</v>
      </c>
      <c r="L121" s="106">
        <f t="shared" si="18"/>
        <v>1.7346250000000001E-2</v>
      </c>
      <c r="M121" s="30">
        <f t="shared" si="32"/>
        <v>3.7230843840931227E-2</v>
      </c>
      <c r="N121" s="30">
        <f t="shared" si="24"/>
        <v>1.0372308438409312</v>
      </c>
      <c r="O121" s="106">
        <f t="shared" si="33"/>
        <v>1.009385</v>
      </c>
      <c r="P121" s="106">
        <f t="shared" si="34"/>
        <v>2.3462500000000011E-3</v>
      </c>
      <c r="Q121" s="106">
        <f t="shared" si="22"/>
        <v>9.3850000000000044E-3</v>
      </c>
      <c r="R121" s="26">
        <f t="shared" si="26"/>
        <v>1.016106052631579</v>
      </c>
      <c r="S121" s="106">
        <f t="shared" si="27"/>
        <v>4.0265131578947396E-3</v>
      </c>
      <c r="T121" s="18">
        <f t="shared" si="28"/>
        <v>1.6106052631578958E-2</v>
      </c>
      <c r="U121" s="61"/>
      <c r="V121" s="61"/>
      <c r="W121" s="61"/>
      <c r="Y121" s="61"/>
      <c r="Z121" s="61"/>
      <c r="AA121" s="61"/>
      <c r="AB121" s="38"/>
      <c r="AC121" s="65"/>
      <c r="AG121" s="64"/>
    </row>
    <row r="122" spans="1:45" x14ac:dyDescent="0.35">
      <c r="A122" s="22">
        <v>2002</v>
      </c>
      <c r="B122" s="43">
        <v>4.9967499999999984E-2</v>
      </c>
      <c r="C122" s="43">
        <f t="shared" si="25"/>
        <v>1.2491874999999996E-2</v>
      </c>
      <c r="D122" s="43">
        <f>'Consolidated underlying data'!E122</f>
        <v>5.1999999999999998E-2</v>
      </c>
      <c r="E122" s="47">
        <f t="shared" si="35"/>
        <v>1.2999999999999999E-2</v>
      </c>
      <c r="F122" s="43">
        <f>'Consolidated underlying data'!F122</f>
        <v>0.03</v>
      </c>
      <c r="G122" s="23">
        <f>'Consolidated underlying data'!B122</f>
        <v>-6.2E-2</v>
      </c>
      <c r="H122" s="24">
        <f t="shared" si="30"/>
        <v>-8.9320388349514612E-2</v>
      </c>
      <c r="I122" s="24">
        <f t="shared" si="23"/>
        <v>0.91067961165048539</v>
      </c>
      <c r="J122" s="25">
        <f t="shared" si="31"/>
        <v>0.88600000000000001</v>
      </c>
      <c r="K122" s="23">
        <f>('Consolidated underlying data'!B122+'Consolidated underlying data'!J122*$M$1)</f>
        <v>-5.4265000000000001E-2</v>
      </c>
      <c r="L122" s="106">
        <f t="shared" si="18"/>
        <v>-1.356625E-2</v>
      </c>
      <c r="M122" s="30">
        <f t="shared" si="32"/>
        <v>-8.1810679611650561E-2</v>
      </c>
      <c r="N122" s="30">
        <f t="shared" si="24"/>
        <v>0.91818932038834944</v>
      </c>
      <c r="O122" s="106">
        <f t="shared" si="33"/>
        <v>0.89373499999999995</v>
      </c>
      <c r="P122" s="106">
        <f t="shared" si="34"/>
        <v>-2.656625E-2</v>
      </c>
      <c r="Q122" s="106">
        <f t="shared" si="22"/>
        <v>-0.106265</v>
      </c>
      <c r="R122" s="26">
        <f t="shared" si="26"/>
        <v>0.89576750000000005</v>
      </c>
      <c r="S122" s="106">
        <f t="shared" si="27"/>
        <v>-2.6058124999999994E-2</v>
      </c>
      <c r="T122" s="18">
        <f t="shared" si="28"/>
        <v>-0.10423249999999998</v>
      </c>
      <c r="U122" s="61"/>
      <c r="V122" s="61"/>
      <c r="W122" s="61"/>
      <c r="Y122" s="61"/>
      <c r="Z122" s="61"/>
      <c r="AA122" s="61"/>
      <c r="AB122" s="38"/>
      <c r="AC122" s="65"/>
      <c r="AG122" s="64"/>
    </row>
    <row r="123" spans="1:45" x14ac:dyDescent="0.35">
      <c r="A123" s="22">
        <v>2003</v>
      </c>
      <c r="B123" s="43">
        <v>5.7054761904761914E-2</v>
      </c>
      <c r="C123" s="43">
        <f t="shared" si="25"/>
        <v>1.4263690476190478E-2</v>
      </c>
      <c r="D123" s="43">
        <f>'Consolidated underlying data'!E123</f>
        <v>5.6000000000000001E-2</v>
      </c>
      <c r="E123" s="47">
        <f t="shared" si="35"/>
        <v>1.4E-2</v>
      </c>
      <c r="F123" s="44">
        <f>'Consolidated underlying data'!F123</f>
        <v>2.4E-2</v>
      </c>
      <c r="G123" s="28">
        <f>'Consolidated underlying data'!B123</f>
        <v>0.13400000000000001</v>
      </c>
      <c r="H123" s="24">
        <f t="shared" si="30"/>
        <v>0.10742187499999978</v>
      </c>
      <c r="I123" s="24">
        <f t="shared" si="23"/>
        <v>1.1074218749999998</v>
      </c>
      <c r="J123" s="25">
        <f t="shared" si="31"/>
        <v>1.0780000000000001</v>
      </c>
      <c r="K123" s="23">
        <f>('Consolidated underlying data'!B123+'Consolidated underlying data'!J123*$M$1)</f>
        <v>0.14576500000000001</v>
      </c>
      <c r="L123" s="106">
        <f t="shared" si="18"/>
        <v>3.6441250000000001E-2</v>
      </c>
      <c r="M123" s="30">
        <f t="shared" si="32"/>
        <v>0.11891113281249988</v>
      </c>
      <c r="N123" s="30">
        <f t="shared" si="24"/>
        <v>1.1189111328124999</v>
      </c>
      <c r="O123" s="106">
        <f t="shared" si="33"/>
        <v>1.0897650000000001</v>
      </c>
      <c r="P123" s="106">
        <f t="shared" si="34"/>
        <v>2.2441250000000003E-2</v>
      </c>
      <c r="Q123" s="106">
        <f t="shared" si="22"/>
        <v>8.9765000000000011E-2</v>
      </c>
      <c r="R123" s="26">
        <f t="shared" si="26"/>
        <v>1.088710238095238</v>
      </c>
      <c r="S123" s="106">
        <f t="shared" si="27"/>
        <v>2.2177559523809523E-2</v>
      </c>
      <c r="T123" s="18">
        <f t="shared" si="28"/>
        <v>8.8710238095238092E-2</v>
      </c>
      <c r="U123" s="61"/>
      <c r="V123" s="61"/>
      <c r="W123" s="61"/>
      <c r="Y123" s="61"/>
      <c r="Z123" s="61"/>
      <c r="AA123" s="61"/>
      <c r="AB123" s="38"/>
      <c r="AC123" s="65"/>
      <c r="AE123" s="65"/>
      <c r="AG123" s="64"/>
    </row>
    <row r="124" spans="1:45" x14ac:dyDescent="0.35">
      <c r="A124" s="22">
        <v>2004</v>
      </c>
      <c r="B124" s="43">
        <v>5.0999999999999997E-2</v>
      </c>
      <c r="C124" s="43">
        <f t="shared" si="25"/>
        <v>1.2749999999999999E-2</v>
      </c>
      <c r="D124" s="43">
        <f>'Consolidated underlying data'!E124</f>
        <v>5.2999999999999999E-2</v>
      </c>
      <c r="E124" s="47">
        <f t="shared" si="35"/>
        <v>1.325E-2</v>
      </c>
      <c r="F124" s="44">
        <f>'Consolidated underlying data'!F124</f>
        <v>2.5999999999999999E-2</v>
      </c>
      <c r="G124" s="28">
        <f>'Consolidated underlying data'!B124</f>
        <v>0.27800000000000002</v>
      </c>
      <c r="H124" s="24">
        <f t="shared" si="30"/>
        <v>0.2456140350877194</v>
      </c>
      <c r="I124" s="24">
        <f t="shared" si="23"/>
        <v>1.2456140350877194</v>
      </c>
      <c r="J124" s="25">
        <f t="shared" si="31"/>
        <v>1.2250000000000001</v>
      </c>
      <c r="K124" s="23">
        <f>('Consolidated underlying data'!B124+'Consolidated underlying data'!J124*$M$1)</f>
        <v>0.28645000000000004</v>
      </c>
      <c r="L124" s="106">
        <f t="shared" si="18"/>
        <v>7.1612500000000009E-2</v>
      </c>
      <c r="M124" s="30">
        <f t="shared" si="32"/>
        <v>0.25384990253411321</v>
      </c>
      <c r="N124" s="30">
        <f t="shared" si="24"/>
        <v>1.2538499025341132</v>
      </c>
      <c r="O124" s="106">
        <f t="shared" si="33"/>
        <v>1.2334499999999999</v>
      </c>
      <c r="P124" s="106">
        <f t="shared" si="34"/>
        <v>5.8362500000000012E-2</v>
      </c>
      <c r="Q124" s="106">
        <f t="shared" si="22"/>
        <v>0.23345000000000005</v>
      </c>
      <c r="R124" s="26">
        <f t="shared" ref="R124:R141" si="37">(K124-B124)+1</f>
        <v>1.2354500000000002</v>
      </c>
      <c r="S124" s="106">
        <f t="shared" ref="S124:S142" si="38">L124-C124</f>
        <v>5.8862500000000012E-2</v>
      </c>
      <c r="T124" s="18">
        <f t="shared" si="28"/>
        <v>0.23545000000000005</v>
      </c>
      <c r="U124" s="61"/>
      <c r="V124" s="61"/>
      <c r="W124" s="61"/>
      <c r="Y124" s="61"/>
      <c r="Z124" s="61"/>
      <c r="AA124" s="61"/>
      <c r="AB124" s="38"/>
      <c r="AC124" s="65"/>
      <c r="AE124" s="65"/>
      <c r="AF124" s="65"/>
      <c r="AG124" s="47"/>
    </row>
    <row r="125" spans="1:45" x14ac:dyDescent="0.35">
      <c r="A125" s="22">
        <v>2005</v>
      </c>
      <c r="B125" s="43">
        <v>5.3427500000000003E-2</v>
      </c>
      <c r="C125" s="43">
        <f t="shared" si="25"/>
        <v>1.3356875000000001E-2</v>
      </c>
      <c r="D125" s="43">
        <f>'Consolidated underlying data'!E125</f>
        <v>5.1999999999999998E-2</v>
      </c>
      <c r="E125" s="47">
        <f t="shared" si="35"/>
        <v>1.2999999999999999E-2</v>
      </c>
      <c r="F125" s="44">
        <f>'Consolidated underlying data'!F125</f>
        <v>2.8000000000000001E-2</v>
      </c>
      <c r="G125" s="28">
        <f>'Consolidated underlying data'!B125</f>
        <v>0.20599999999999999</v>
      </c>
      <c r="H125" s="24">
        <f t="shared" si="30"/>
        <v>0.17315175097276247</v>
      </c>
      <c r="I125" s="24">
        <f t="shared" si="23"/>
        <v>1.1731517509727625</v>
      </c>
      <c r="J125" s="25">
        <f t="shared" si="31"/>
        <v>1.1539999999999999</v>
      </c>
      <c r="K125" s="23">
        <f>('Consolidated underlying data'!B125+'Consolidated underlying data'!J125*$M$1)</f>
        <v>0.21470999999999998</v>
      </c>
      <c r="L125" s="106">
        <f t="shared" si="18"/>
        <v>5.3677499999999996E-2</v>
      </c>
      <c r="M125" s="30">
        <f t="shared" si="32"/>
        <v>0.18162451361867693</v>
      </c>
      <c r="N125" s="30">
        <f t="shared" si="24"/>
        <v>1.1816245136186769</v>
      </c>
      <c r="O125" s="106">
        <f t="shared" si="33"/>
        <v>1.1627099999999999</v>
      </c>
      <c r="P125" s="106">
        <f t="shared" si="34"/>
        <v>4.0677499999999998E-2</v>
      </c>
      <c r="Q125" s="106">
        <f t="shared" si="22"/>
        <v>0.16270999999999999</v>
      </c>
      <c r="R125" s="26">
        <f t="shared" si="37"/>
        <v>1.1612825</v>
      </c>
      <c r="S125" s="106">
        <f t="shared" si="38"/>
        <v>4.0320624999999999E-2</v>
      </c>
      <c r="T125" s="18">
        <f t="shared" si="28"/>
        <v>0.1612825</v>
      </c>
      <c r="U125" s="61"/>
      <c r="V125" s="61"/>
      <c r="W125" s="61"/>
      <c r="Y125" s="61"/>
      <c r="Z125" s="61"/>
      <c r="AA125" s="61"/>
      <c r="AB125" s="38"/>
      <c r="AC125" s="65"/>
      <c r="AG125" s="64"/>
    </row>
    <row r="126" spans="1:45" x14ac:dyDescent="0.35">
      <c r="A126" s="22">
        <v>2006</v>
      </c>
      <c r="B126" s="43">
        <v>5.868421052631579E-2</v>
      </c>
      <c r="C126" s="43">
        <f t="shared" si="25"/>
        <v>1.4671052631578948E-2</v>
      </c>
      <c r="D126" s="43">
        <f>'Consolidated underlying data'!E126</f>
        <v>5.8999999999999997E-2</v>
      </c>
      <c r="E126" s="47">
        <f t="shared" si="35"/>
        <v>1.4749999999999999E-2</v>
      </c>
      <c r="F126" s="44">
        <f>'Consolidated underlying data'!F126</f>
        <v>3.3000000000000002E-2</v>
      </c>
      <c r="G126" s="28">
        <f>'Consolidated underlying data'!B126</f>
        <v>0.249</v>
      </c>
      <c r="H126" s="24">
        <f t="shared" si="30"/>
        <v>0.2090997095837368</v>
      </c>
      <c r="I126" s="24">
        <f t="shared" si="23"/>
        <v>1.2090997095837368</v>
      </c>
      <c r="J126" s="25">
        <f t="shared" si="31"/>
        <v>1.19</v>
      </c>
      <c r="K126" s="23">
        <f>('Consolidated underlying data'!B126+'Consolidated underlying data'!J126*$M$1)</f>
        <v>0.25757999999999998</v>
      </c>
      <c r="L126" s="106">
        <f t="shared" si="18"/>
        <v>6.4394999999999994E-2</v>
      </c>
      <c r="M126" s="30">
        <f t="shared" si="32"/>
        <v>0.2174056147144241</v>
      </c>
      <c r="N126" s="30">
        <f t="shared" si="24"/>
        <v>1.2174056147144241</v>
      </c>
      <c r="O126" s="106">
        <f t="shared" si="33"/>
        <v>1.19858</v>
      </c>
      <c r="P126" s="106">
        <f t="shared" si="34"/>
        <v>4.9644999999999995E-2</v>
      </c>
      <c r="Q126" s="106">
        <f t="shared" si="22"/>
        <v>0.19857999999999998</v>
      </c>
      <c r="R126" s="26">
        <f t="shared" si="37"/>
        <v>1.1988957894736842</v>
      </c>
      <c r="S126" s="106">
        <f t="shared" si="38"/>
        <v>4.9723947368421048E-2</v>
      </c>
      <c r="T126" s="18">
        <f t="shared" si="28"/>
        <v>0.19889578947368419</v>
      </c>
      <c r="U126" s="61"/>
      <c r="V126" s="61"/>
      <c r="W126" s="61"/>
      <c r="Y126" s="61"/>
      <c r="Z126" s="61"/>
      <c r="AA126" s="61"/>
      <c r="AB126" s="38"/>
      <c r="AC126" s="65"/>
      <c r="AG126" s="64"/>
    </row>
    <row r="127" spans="1:45" x14ac:dyDescent="0.35">
      <c r="A127" s="22">
        <v>2007</v>
      </c>
      <c r="B127" s="43">
        <v>6.4636842105263159E-2</v>
      </c>
      <c r="C127" s="43">
        <f t="shared" si="25"/>
        <v>1.615921052631579E-2</v>
      </c>
      <c r="D127" s="43">
        <f>'Consolidated underlying data'!E127</f>
        <v>6.3E-2</v>
      </c>
      <c r="E127" s="47">
        <f t="shared" si="35"/>
        <v>1.575E-2</v>
      </c>
      <c r="F127" s="44">
        <f>'Consolidated underlying data'!F127</f>
        <v>0.03</v>
      </c>
      <c r="G127" s="28">
        <f>'Consolidated underlying data'!B127</f>
        <v>0.223</v>
      </c>
      <c r="H127" s="24">
        <f t="shared" si="30"/>
        <v>0.18737864077669908</v>
      </c>
      <c r="I127" s="24">
        <f t="shared" si="23"/>
        <v>1.1873786407766991</v>
      </c>
      <c r="J127" s="25">
        <f t="shared" si="31"/>
        <v>1.1599999999999999</v>
      </c>
      <c r="K127" s="23">
        <f>('Consolidated underlying data'!B127+'Consolidated underlying data'!J127*$M$1)</f>
        <v>0.23002</v>
      </c>
      <c r="L127" s="106">
        <f t="shared" si="18"/>
        <v>5.7505000000000001E-2</v>
      </c>
      <c r="M127" s="30">
        <f t="shared" si="32"/>
        <v>0.19419417475728173</v>
      </c>
      <c r="N127" s="30">
        <f t="shared" si="24"/>
        <v>1.1941941747572817</v>
      </c>
      <c r="O127" s="106">
        <f t="shared" si="33"/>
        <v>1.1670199999999999</v>
      </c>
      <c r="P127" s="106">
        <f t="shared" si="34"/>
        <v>4.1755E-2</v>
      </c>
      <c r="Q127" s="106">
        <f t="shared" si="22"/>
        <v>0.16702</v>
      </c>
      <c r="R127" s="26">
        <f t="shared" si="37"/>
        <v>1.1653831578947369</v>
      </c>
      <c r="S127" s="106">
        <f t="shared" si="38"/>
        <v>4.1345789473684211E-2</v>
      </c>
      <c r="T127" s="18">
        <f t="shared" si="28"/>
        <v>0.16538315789473684</v>
      </c>
      <c r="U127" s="61"/>
      <c r="V127" s="61"/>
      <c r="W127" s="61"/>
      <c r="Y127" s="61"/>
      <c r="Z127" s="61"/>
      <c r="AA127" s="61"/>
      <c r="AB127" s="38"/>
      <c r="AC127" s="65"/>
      <c r="AG127" s="64"/>
    </row>
    <row r="128" spans="1:45" x14ac:dyDescent="0.35">
      <c r="A128" s="22">
        <v>2008</v>
      </c>
      <c r="B128" s="43">
        <v>3.7221428571428558E-2</v>
      </c>
      <c r="C128" s="43">
        <f t="shared" si="25"/>
        <v>9.3053571428571395E-3</v>
      </c>
      <c r="D128" s="43">
        <f>'Consolidated underlying data'!E128</f>
        <v>0.04</v>
      </c>
      <c r="E128" s="47">
        <f t="shared" si="35"/>
        <v>0.01</v>
      </c>
      <c r="F128" s="44">
        <f>'Consolidated underlying data'!F128</f>
        <v>3.6999999999999998E-2</v>
      </c>
      <c r="G128" s="28">
        <f>'Consolidated underlying data'!B128</f>
        <v>-0.433</v>
      </c>
      <c r="H128" s="24">
        <f t="shared" si="30"/>
        <v>-0.45323047251687565</v>
      </c>
      <c r="I128" s="24">
        <f t="shared" si="23"/>
        <v>0.54676952748312435</v>
      </c>
      <c r="J128" s="25">
        <f t="shared" si="31"/>
        <v>0.52700000000000002</v>
      </c>
      <c r="K128" s="23">
        <f>('Consolidated underlying data'!B128+'Consolidated underlying data'!J128*$M$1)</f>
        <v>-0.4239</v>
      </c>
      <c r="L128" s="106">
        <f t="shared" si="18"/>
        <v>-0.105975</v>
      </c>
      <c r="M128" s="30">
        <f t="shared" si="32"/>
        <v>-0.4444551591128254</v>
      </c>
      <c r="N128" s="30">
        <f t="shared" si="24"/>
        <v>0.5555448408871746</v>
      </c>
      <c r="O128" s="106">
        <f t="shared" si="33"/>
        <v>0.53610000000000002</v>
      </c>
      <c r="P128" s="106">
        <f t="shared" si="34"/>
        <v>-0.11597499999999999</v>
      </c>
      <c r="Q128" s="106">
        <f t="shared" si="22"/>
        <v>-0.46389999999999998</v>
      </c>
      <c r="R128" s="26">
        <f t="shared" si="37"/>
        <v>0.53887857142857143</v>
      </c>
      <c r="S128" s="106">
        <f t="shared" si="38"/>
        <v>-0.11528035714285714</v>
      </c>
      <c r="T128" s="18">
        <f t="shared" si="28"/>
        <v>-0.46112142857142857</v>
      </c>
      <c r="U128" s="61"/>
      <c r="V128" s="61"/>
      <c r="W128" s="61"/>
      <c r="Y128" s="61"/>
      <c r="Z128" s="61"/>
      <c r="AA128" s="61"/>
      <c r="AB128" s="38"/>
      <c r="AC128" s="65"/>
      <c r="AG128" s="64"/>
    </row>
    <row r="129" spans="1:33" x14ac:dyDescent="0.35">
      <c r="A129" s="22">
        <v>2009</v>
      </c>
      <c r="B129" s="43">
        <v>5.1500000000000004E-2</v>
      </c>
      <c r="C129" s="43">
        <f t="shared" si="25"/>
        <v>1.2875000000000001E-2</v>
      </c>
      <c r="D129" s="43">
        <f>'Consolidated underlying data'!E129</f>
        <v>5.7036397984886647E-2</v>
      </c>
      <c r="E129" s="47">
        <f t="shared" si="35"/>
        <v>1.4259099496221662E-2</v>
      </c>
      <c r="F129" s="44">
        <f>'Consolidated underlying data'!F129</f>
        <v>2.1000000000000001E-2</v>
      </c>
      <c r="G129" s="28">
        <f>'Consolidated underlying data'!B129</f>
        <v>0.40400000000000003</v>
      </c>
      <c r="H129" s="24">
        <f t="shared" si="30"/>
        <v>0.3751224289911852</v>
      </c>
      <c r="I129" s="24">
        <f t="shared" si="23"/>
        <v>1.3751224289911852</v>
      </c>
      <c r="J129" s="25">
        <f t="shared" si="31"/>
        <v>1.3469636020151134</v>
      </c>
      <c r="K129" s="23">
        <f>('Consolidated underlying data'!B129+'Consolidated underlying data'!J129*$M$1)</f>
        <v>0.41251500000000002</v>
      </c>
      <c r="L129" s="106">
        <f t="shared" si="18"/>
        <v>0.10312875000000001</v>
      </c>
      <c r="M129" s="30">
        <f t="shared" si="32"/>
        <v>0.38346229187071512</v>
      </c>
      <c r="N129" s="30">
        <f t="shared" si="24"/>
        <v>1.3834622918707151</v>
      </c>
      <c r="O129" s="106">
        <f t="shared" si="33"/>
        <v>1.3554786020151135</v>
      </c>
      <c r="P129" s="106">
        <f t="shared" si="34"/>
        <v>8.8869650503778347E-2</v>
      </c>
      <c r="Q129" s="106">
        <f t="shared" si="22"/>
        <v>0.35547860201511339</v>
      </c>
      <c r="R129" s="26">
        <f t="shared" si="37"/>
        <v>1.3610150000000001</v>
      </c>
      <c r="S129" s="106">
        <f t="shared" si="38"/>
        <v>9.0253750000000008E-2</v>
      </c>
      <c r="T129" s="18">
        <f t="shared" si="28"/>
        <v>0.36101500000000003</v>
      </c>
      <c r="U129" s="61"/>
      <c r="V129" s="61"/>
      <c r="W129" s="61"/>
      <c r="Y129" s="61"/>
      <c r="Z129" s="61"/>
      <c r="AA129" s="61"/>
      <c r="AB129" s="38"/>
      <c r="AC129" s="65"/>
      <c r="AG129" s="64"/>
    </row>
    <row r="130" spans="1:33" x14ac:dyDescent="0.35">
      <c r="A130" s="22">
        <v>2010</v>
      </c>
      <c r="B130" s="43">
        <v>5.33E-2</v>
      </c>
      <c r="C130" s="43">
        <f t="shared" si="25"/>
        <v>1.3325E-2</v>
      </c>
      <c r="D130" s="43">
        <f>'Consolidated underlying data'!E130</f>
        <v>5.5363291139240503E-2</v>
      </c>
      <c r="E130" s="47">
        <f t="shared" si="35"/>
        <v>1.3840822784810126E-2</v>
      </c>
      <c r="F130" s="44">
        <f>'Consolidated underlying data'!F130</f>
        <v>2.7E-2</v>
      </c>
      <c r="G130" s="28">
        <f>'Consolidated underlying data'!B130</f>
        <v>6.4000000000000001E-2</v>
      </c>
      <c r="H130" s="24">
        <f t="shared" si="30"/>
        <v>3.6027263875365367E-2</v>
      </c>
      <c r="I130" s="24">
        <f t="shared" si="23"/>
        <v>1.0360272638753654</v>
      </c>
      <c r="J130" s="25">
        <f t="shared" si="31"/>
        <v>1.0086367088607595</v>
      </c>
      <c r="K130" s="23">
        <f>('Consolidated underlying data'!B130+'Consolidated underlying data'!J130*$M$1)</f>
        <v>7.1864999999999998E-2</v>
      </c>
      <c r="L130" s="106">
        <f t="shared" si="18"/>
        <v>1.796625E-2</v>
      </c>
      <c r="M130" s="30">
        <f t="shared" si="32"/>
        <v>4.3685491723466585E-2</v>
      </c>
      <c r="N130" s="30">
        <f t="shared" si="24"/>
        <v>1.0436854917234666</v>
      </c>
      <c r="O130" s="106">
        <f t="shared" si="33"/>
        <v>1.0165017088607595</v>
      </c>
      <c r="P130" s="106">
        <f t="shared" si="34"/>
        <v>4.1254272151898738E-3</v>
      </c>
      <c r="Q130" s="106">
        <f t="shared" si="22"/>
        <v>1.6501708860759495E-2</v>
      </c>
      <c r="R130" s="26">
        <f t="shared" si="37"/>
        <v>1.0185649999999999</v>
      </c>
      <c r="S130" s="106">
        <f t="shared" si="38"/>
        <v>4.6412499999999995E-3</v>
      </c>
      <c r="T130" s="18">
        <f t="shared" si="28"/>
        <v>1.8564999999999998E-2</v>
      </c>
      <c r="U130" s="61"/>
      <c r="V130" s="61"/>
      <c r="W130" s="61"/>
      <c r="Y130" s="61"/>
      <c r="Z130" s="61"/>
      <c r="AA130" s="61"/>
      <c r="AB130" s="38"/>
      <c r="AC130" s="65"/>
      <c r="AG130" s="64"/>
    </row>
    <row r="131" spans="1:33" x14ac:dyDescent="0.35">
      <c r="A131" s="29">
        <v>2011</v>
      </c>
      <c r="B131" s="87">
        <v>3.3349999999999998E-2</v>
      </c>
      <c r="C131" s="43">
        <f t="shared" si="25"/>
        <v>8.3374999999999994E-3</v>
      </c>
      <c r="D131" s="43">
        <f>'Consolidated underlying data'!E131</f>
        <v>3.7345070422535209E-2</v>
      </c>
      <c r="E131" s="47">
        <f t="shared" si="35"/>
        <v>9.3362676056338023E-3</v>
      </c>
      <c r="F131" s="44">
        <f>'Consolidated underlying data'!F131</f>
        <v>0.03</v>
      </c>
      <c r="G131" s="28">
        <f>'Consolidated underlying data'!B131</f>
        <v>-8.5000000000000006E-2</v>
      </c>
      <c r="H131" s="30">
        <f t="shared" ref="H131:H141" si="39">(1+G131)/(1+F131)-1</f>
        <v>-0.11165048543689315</v>
      </c>
      <c r="I131" s="30">
        <f t="shared" si="23"/>
        <v>0.88834951456310685</v>
      </c>
      <c r="J131" s="25">
        <f t="shared" ref="J131:J141" si="40">(G131-D131)+1</f>
        <v>0.87765492957746483</v>
      </c>
      <c r="K131" s="23">
        <f>('Consolidated underlying data'!B131+'Consolidated underlying data'!J131*$M$1)</f>
        <v>-7.609500000000001E-2</v>
      </c>
      <c r="L131" s="106">
        <f t="shared" ref="L131:L140" si="41">K131/4</f>
        <v>-1.9023750000000002E-2</v>
      </c>
      <c r="M131" s="30">
        <f t="shared" ref="M131:M141" si="42">(1+K131)/(1+F131)-1</f>
        <v>-0.10300485436893203</v>
      </c>
      <c r="N131" s="30">
        <f t="shared" si="24"/>
        <v>0.89699514563106797</v>
      </c>
      <c r="O131" s="106">
        <f t="shared" ref="O131:O141" si="43">(K131-D131)+1</f>
        <v>0.88655992957746477</v>
      </c>
      <c r="P131" s="106">
        <f t="shared" ref="P131:P142" si="44">(L131-E131)</f>
        <v>-2.8360017605633805E-2</v>
      </c>
      <c r="Q131" s="106">
        <f t="shared" ref="Q131:Q138" si="45">P131*4</f>
        <v>-0.11344007042253522</v>
      </c>
      <c r="R131" s="26">
        <f t="shared" si="37"/>
        <v>0.89055499999999999</v>
      </c>
      <c r="S131" s="106">
        <f t="shared" si="38"/>
        <v>-2.7361250000000004E-2</v>
      </c>
      <c r="T131" s="18">
        <f t="shared" si="28"/>
        <v>-0.10944500000000001</v>
      </c>
      <c r="U131" s="61"/>
      <c r="V131" s="61"/>
      <c r="W131" s="61"/>
      <c r="X131" s="72"/>
      <c r="Y131" s="61"/>
      <c r="Z131" s="61"/>
      <c r="AA131" s="61"/>
      <c r="AB131" s="38"/>
      <c r="AC131" s="65"/>
      <c r="AG131" s="64"/>
    </row>
    <row r="132" spans="1:33" x14ac:dyDescent="0.35">
      <c r="A132" s="31">
        <v>2012</v>
      </c>
      <c r="B132" s="45">
        <v>2.8250000000000001E-2</v>
      </c>
      <c r="C132" s="43">
        <f t="shared" si="25"/>
        <v>7.0625000000000002E-3</v>
      </c>
      <c r="D132" s="45">
        <f>'Consolidated underlying data'!E132</f>
        <v>3.2481964285714288E-2</v>
      </c>
      <c r="E132" s="47">
        <f t="shared" si="35"/>
        <v>8.1204910714285719E-3</v>
      </c>
      <c r="F132" s="46">
        <f>'Consolidated underlying data'!F132</f>
        <v>2.2000000000000002E-2</v>
      </c>
      <c r="G132" s="28">
        <f>'Consolidated underlying data'!B132</f>
        <v>0.13800000000000001</v>
      </c>
      <c r="H132" s="30">
        <f t="shared" si="39"/>
        <v>0.11350293542074352</v>
      </c>
      <c r="I132" s="30">
        <f t="shared" ref="I132:I133" si="46">1+H132</f>
        <v>1.1135029354207435</v>
      </c>
      <c r="J132" s="28">
        <f t="shared" si="40"/>
        <v>1.1055180357142858</v>
      </c>
      <c r="K132" s="23">
        <f>('Consolidated underlying data'!B132+'Consolidated underlying data'!J132*$M$1)</f>
        <v>0.14788000000000001</v>
      </c>
      <c r="L132" s="106">
        <f t="shared" si="41"/>
        <v>3.6970000000000003E-2</v>
      </c>
      <c r="M132" s="30">
        <f t="shared" si="42"/>
        <v>0.12317025440313101</v>
      </c>
      <c r="N132" s="30">
        <f t="shared" ref="N132:N133" si="47">M132+1</f>
        <v>1.123170254403131</v>
      </c>
      <c r="O132" s="106">
        <f t="shared" si="43"/>
        <v>1.1153980357142856</v>
      </c>
      <c r="P132" s="106">
        <f t="shared" si="44"/>
        <v>2.8849508928571431E-2</v>
      </c>
      <c r="Q132" s="106">
        <f t="shared" si="45"/>
        <v>0.11539803571428572</v>
      </c>
      <c r="R132" s="26">
        <f t="shared" si="37"/>
        <v>1.1196299999999999</v>
      </c>
      <c r="S132" s="106">
        <f t="shared" si="38"/>
        <v>2.9907500000000004E-2</v>
      </c>
      <c r="T132" s="18">
        <f t="shared" si="28"/>
        <v>0.11963000000000001</v>
      </c>
      <c r="U132" s="61"/>
      <c r="V132" s="61"/>
      <c r="W132" s="61"/>
      <c r="X132" s="72"/>
      <c r="Y132" s="61"/>
      <c r="Z132" s="61"/>
      <c r="AA132" s="61"/>
      <c r="AB132" s="38"/>
      <c r="AC132" s="65"/>
      <c r="AG132" s="64"/>
    </row>
    <row r="133" spans="1:33" x14ac:dyDescent="0.35">
      <c r="A133" s="31">
        <v>2013</v>
      </c>
      <c r="B133" s="45">
        <v>3.4575000000000002E-2</v>
      </c>
      <c r="C133" s="43">
        <f t="shared" si="25"/>
        <v>8.6437500000000004E-3</v>
      </c>
      <c r="D133" s="47">
        <f>'Consolidated underlying data'!E133</f>
        <v>4.1948087431693988E-2</v>
      </c>
      <c r="E133" s="47">
        <f t="shared" si="35"/>
        <v>1.0487021857923497E-2</v>
      </c>
      <c r="F133" s="46">
        <f>'Consolidated underlying data'!F133</f>
        <v>2.7000000000000003E-2</v>
      </c>
      <c r="G133" s="28">
        <f>'Consolidated underlying data'!B133</f>
        <v>0.18099999999999999</v>
      </c>
      <c r="H133" s="24">
        <f t="shared" si="39"/>
        <v>0.1499513145082767</v>
      </c>
      <c r="I133" s="24">
        <f t="shared" si="46"/>
        <v>1.1499513145082767</v>
      </c>
      <c r="J133" s="25">
        <f t="shared" si="40"/>
        <v>1.1390519125683061</v>
      </c>
      <c r="K133" s="23">
        <f>('Consolidated underlying data'!B133+'Consolidated underlying data'!J133*$M$1)</f>
        <v>0.19029499999999999</v>
      </c>
      <c r="L133" s="106">
        <f t="shared" si="41"/>
        <v>4.7573749999999998E-2</v>
      </c>
      <c r="M133" s="30">
        <f t="shared" si="42"/>
        <v>0.15900194741966889</v>
      </c>
      <c r="N133" s="30">
        <f t="shared" si="47"/>
        <v>1.1590019474196689</v>
      </c>
      <c r="O133" s="106">
        <f t="shared" si="43"/>
        <v>1.1483469125683059</v>
      </c>
      <c r="P133" s="106">
        <f t="shared" si="44"/>
        <v>3.7086728142076503E-2</v>
      </c>
      <c r="Q133" s="106">
        <f t="shared" si="45"/>
        <v>0.14834691256830601</v>
      </c>
      <c r="R133" s="26">
        <f t="shared" si="37"/>
        <v>1.1557200000000001</v>
      </c>
      <c r="S133" s="106">
        <f t="shared" si="38"/>
        <v>3.8929999999999999E-2</v>
      </c>
      <c r="T133" s="18">
        <f t="shared" si="28"/>
        <v>0.15572</v>
      </c>
      <c r="U133" s="61"/>
      <c r="V133" s="61"/>
      <c r="W133" s="61"/>
      <c r="X133" s="72"/>
      <c r="Y133" s="61"/>
      <c r="Z133" s="61"/>
      <c r="AA133" s="61"/>
      <c r="AB133" s="38"/>
      <c r="AC133" s="65"/>
      <c r="AG133" s="64"/>
    </row>
    <row r="134" spans="1:33" x14ac:dyDescent="0.35">
      <c r="A134" s="31">
        <v>2014</v>
      </c>
      <c r="B134" s="45">
        <v>2.435E-2</v>
      </c>
      <c r="C134" s="43">
        <f t="shared" si="25"/>
        <v>6.0875E-3</v>
      </c>
      <c r="D134" s="47">
        <f>'Consolidated underlying data'!E134</f>
        <v>2.7871917808219179E-2</v>
      </c>
      <c r="E134" s="47">
        <f t="shared" si="35"/>
        <v>6.9679794520547947E-3</v>
      </c>
      <c r="F134" s="46">
        <f>'Consolidated underlying data'!F134</f>
        <v>1.7000000000000001E-2</v>
      </c>
      <c r="G134" s="28">
        <f>'Consolidated underlying data'!B134</f>
        <v>5.8000000000000003E-2</v>
      </c>
      <c r="H134" s="24">
        <f t="shared" si="39"/>
        <v>4.0314650934120122E-2</v>
      </c>
      <c r="I134" s="24">
        <f t="shared" ref="I134:I138" si="48">1+H134</f>
        <v>1.0403146509341201</v>
      </c>
      <c r="J134" s="25">
        <f t="shared" si="40"/>
        <v>1.0301280821917809</v>
      </c>
      <c r="K134" s="23">
        <f>('Consolidated underlying data'!B134+'Consolidated underlying data'!J134*$M$1)</f>
        <v>6.7295000000000008E-2</v>
      </c>
      <c r="L134" s="106">
        <f t="shared" si="41"/>
        <v>1.6823750000000002E-2</v>
      </c>
      <c r="M134" s="30">
        <f t="shared" si="42"/>
        <v>4.9454277286135939E-2</v>
      </c>
      <c r="N134" s="30">
        <f t="shared" ref="N134:N138" si="49">M134+1</f>
        <v>1.0494542772861359</v>
      </c>
      <c r="O134" s="106">
        <f t="shared" si="43"/>
        <v>1.0394230821917809</v>
      </c>
      <c r="P134" s="106">
        <f t="shared" si="44"/>
        <v>9.8557705479452064E-3</v>
      </c>
      <c r="Q134" s="106">
        <f t="shared" si="45"/>
        <v>3.9423082191780826E-2</v>
      </c>
      <c r="R134" s="26">
        <f t="shared" si="37"/>
        <v>1.042945</v>
      </c>
      <c r="S134" s="106">
        <f t="shared" si="38"/>
        <v>1.0736250000000003E-2</v>
      </c>
      <c r="T134" s="18">
        <f t="shared" si="28"/>
        <v>4.2945000000000011E-2</v>
      </c>
      <c r="U134" s="61"/>
      <c r="V134" s="61"/>
      <c r="W134" s="61"/>
      <c r="X134" s="72"/>
      <c r="Y134" s="61"/>
      <c r="Z134" s="61"/>
      <c r="AA134" s="61"/>
      <c r="AB134" s="38"/>
      <c r="AC134" s="65"/>
      <c r="AG134" s="64"/>
    </row>
    <row r="135" spans="1:33" x14ac:dyDescent="0.35">
      <c r="A135" s="31">
        <v>2015</v>
      </c>
      <c r="B135" s="45">
        <v>2.2850000000000002E-2</v>
      </c>
      <c r="C135" s="43">
        <f t="shared" si="25"/>
        <v>5.7125000000000006E-3</v>
      </c>
      <c r="D135" s="47">
        <f>'Consolidated underlying data'!E135</f>
        <v>2.8602328767123288E-2</v>
      </c>
      <c r="E135" s="47">
        <f t="shared" si="35"/>
        <v>7.1505821917808221E-3</v>
      </c>
      <c r="F135" s="46">
        <f>'Consolidated underlying data'!F135</f>
        <v>1.7000000000000001E-2</v>
      </c>
      <c r="G135" s="28">
        <f>'Consolidated underlying data'!B135</f>
        <v>2.7E-2</v>
      </c>
      <c r="H135" s="24">
        <f t="shared" si="39"/>
        <v>9.8328416912487615E-3</v>
      </c>
      <c r="I135" s="24">
        <f t="shared" si="48"/>
        <v>1.0098328416912488</v>
      </c>
      <c r="J135" s="25">
        <f t="shared" si="40"/>
        <v>0.9983976712328767</v>
      </c>
      <c r="K135" s="23">
        <f>('Consolidated underlying data'!B135+'Consolidated underlying data'!J135*$M$1)</f>
        <v>3.6749999999999998E-2</v>
      </c>
      <c r="L135" s="106">
        <f t="shared" si="41"/>
        <v>9.1874999999999995E-3</v>
      </c>
      <c r="M135" s="30">
        <f t="shared" si="42"/>
        <v>1.9419862340216421E-2</v>
      </c>
      <c r="N135" s="30">
        <f t="shared" si="49"/>
        <v>1.0194198623402164</v>
      </c>
      <c r="O135" s="106">
        <f t="shared" si="43"/>
        <v>1.0081476712328767</v>
      </c>
      <c r="P135" s="106">
        <f t="shared" si="44"/>
        <v>2.0369178082191774E-3</v>
      </c>
      <c r="Q135" s="106">
        <f t="shared" si="45"/>
        <v>8.1476712328767097E-3</v>
      </c>
      <c r="R135" s="26">
        <f t="shared" si="37"/>
        <v>1.0139</v>
      </c>
      <c r="S135" s="106">
        <f t="shared" si="38"/>
        <v>3.4749999999999989E-3</v>
      </c>
      <c r="T135" s="18">
        <f t="shared" si="28"/>
        <v>1.3899999999999996E-2</v>
      </c>
      <c r="U135" s="61"/>
      <c r="V135" s="61"/>
      <c r="W135" s="61"/>
      <c r="X135" s="72"/>
      <c r="Y135" s="61"/>
      <c r="Z135" s="61"/>
      <c r="AA135" s="61"/>
      <c r="AB135" s="38"/>
      <c r="AC135" s="65"/>
      <c r="AG135" s="64"/>
    </row>
    <row r="136" spans="1:33" x14ac:dyDescent="0.35">
      <c r="A136" s="31">
        <v>2016</v>
      </c>
      <c r="B136" s="45">
        <v>2.2400000000000003E-2</v>
      </c>
      <c r="C136" s="43">
        <f t="shared" si="25"/>
        <v>5.6000000000000008E-3</v>
      </c>
      <c r="D136" s="45">
        <f>'Consolidated underlying data'!E136</f>
        <v>2.7431232876712328E-2</v>
      </c>
      <c r="E136" s="47">
        <f t="shared" si="35"/>
        <v>6.8578082191780819E-3</v>
      </c>
      <c r="F136" s="46">
        <f>'Consolidated underlying data'!F136</f>
        <v>1.4999999999999999E-2</v>
      </c>
      <c r="G136" s="28">
        <f>'Consolidated underlying data'!B136</f>
        <v>0.13</v>
      </c>
      <c r="H136" s="30">
        <f t="shared" si="39"/>
        <v>0.11330049261083741</v>
      </c>
      <c r="I136" s="30">
        <f t="shared" si="48"/>
        <v>1.1133004926108374</v>
      </c>
      <c r="J136" s="28">
        <f t="shared" si="40"/>
        <v>1.1025687671232878</v>
      </c>
      <c r="K136" s="23">
        <f>('Consolidated underlying data'!B136+'Consolidated underlying data'!J136*$M$1)</f>
        <v>0.138905</v>
      </c>
      <c r="L136" s="106">
        <f t="shared" si="41"/>
        <v>3.472625E-2</v>
      </c>
      <c r="M136" s="30">
        <f t="shared" si="42"/>
        <v>0.12207389162561588</v>
      </c>
      <c r="N136" s="30">
        <f t="shared" si="49"/>
        <v>1.1220738916256159</v>
      </c>
      <c r="O136" s="106">
        <f t="shared" si="43"/>
        <v>1.1114737671232877</v>
      </c>
      <c r="P136" s="106">
        <f t="shared" si="44"/>
        <v>2.7868441780821918E-2</v>
      </c>
      <c r="Q136" s="106">
        <f t="shared" si="45"/>
        <v>0.11147376712328767</v>
      </c>
      <c r="R136" s="26">
        <f t="shared" si="37"/>
        <v>1.1165050000000001</v>
      </c>
      <c r="S136" s="106">
        <f t="shared" si="38"/>
        <v>2.9126249999999999E-2</v>
      </c>
      <c r="T136" s="18">
        <f t="shared" si="28"/>
        <v>0.116505</v>
      </c>
      <c r="U136" s="61"/>
      <c r="V136" s="61"/>
      <c r="W136" s="61"/>
      <c r="X136" s="72"/>
      <c r="Y136" s="61"/>
      <c r="Z136" s="61"/>
      <c r="AA136" s="61"/>
      <c r="AB136" s="38"/>
      <c r="AC136" s="65"/>
      <c r="AG136" s="64"/>
    </row>
    <row r="137" spans="1:33" x14ac:dyDescent="0.35">
      <c r="A137" s="31">
        <v>2017</v>
      </c>
      <c r="B137" s="45">
        <v>2.2499999999999999E-2</v>
      </c>
      <c r="C137" s="43">
        <f t="shared" si="25"/>
        <v>5.6249999999999998E-3</v>
      </c>
      <c r="D137" s="45">
        <f>'Consolidated underlying data'!E137</f>
        <v>2.6373076923076923E-2</v>
      </c>
      <c r="E137" s="47">
        <f t="shared" si="35"/>
        <v>6.5932692307692307E-3</v>
      </c>
      <c r="F137" s="46">
        <f>'Consolidated underlying data'!F137</f>
        <v>1.9E-2</v>
      </c>
      <c r="G137" s="28">
        <f>'Consolidated underlying data'!B137</f>
        <v>0.13600000000000001</v>
      </c>
      <c r="H137" s="30">
        <f t="shared" si="39"/>
        <v>0.11481844946025532</v>
      </c>
      <c r="I137" s="30">
        <f t="shared" si="48"/>
        <v>1.1148184494602553</v>
      </c>
      <c r="J137" s="28">
        <f t="shared" si="40"/>
        <v>1.1096269230769231</v>
      </c>
      <c r="K137" s="23">
        <f>('Consolidated underlying data'!B137+'Consolidated underlying data'!J137*$M$1)</f>
        <v>0.14490500000000001</v>
      </c>
      <c r="L137" s="106">
        <f t="shared" si="41"/>
        <v>3.6226250000000002E-2</v>
      </c>
      <c r="M137" s="30">
        <f t="shared" si="42"/>
        <v>0.12355740922473024</v>
      </c>
      <c r="N137" s="30">
        <f t="shared" si="49"/>
        <v>1.1235574092247302</v>
      </c>
      <c r="O137" s="106">
        <f t="shared" si="43"/>
        <v>1.1185319230769231</v>
      </c>
      <c r="P137" s="106">
        <f t="shared" si="44"/>
        <v>2.9632980769230773E-2</v>
      </c>
      <c r="Q137" s="106">
        <f t="shared" si="45"/>
        <v>0.11853192307692309</v>
      </c>
      <c r="R137" s="26">
        <f t="shared" si="37"/>
        <v>1.1224050000000001</v>
      </c>
      <c r="S137" s="106">
        <f t="shared" si="38"/>
        <v>3.0601250000000003E-2</v>
      </c>
      <c r="T137" s="18">
        <f t="shared" si="28"/>
        <v>0.12240500000000001</v>
      </c>
      <c r="U137" s="61"/>
      <c r="V137" s="61"/>
      <c r="W137" s="61"/>
      <c r="X137" s="72"/>
      <c r="Y137" s="61"/>
      <c r="Z137" s="61"/>
      <c r="AA137" s="61"/>
      <c r="AB137" s="38"/>
      <c r="AC137" s="65"/>
      <c r="AG137" s="64"/>
    </row>
    <row r="138" spans="1:33" x14ac:dyDescent="0.35">
      <c r="A138" s="31">
        <v>2018</v>
      </c>
      <c r="B138" s="45">
        <v>2.1000000000000001E-2</v>
      </c>
      <c r="C138" s="43">
        <f t="shared" si="25"/>
        <v>5.2500000000000003E-3</v>
      </c>
      <c r="D138" s="45">
        <f>'Consolidated underlying data'!E138</f>
        <v>2.3163245033112581E-2</v>
      </c>
      <c r="E138" s="47">
        <f t="shared" si="35"/>
        <v>5.7908112582781453E-3</v>
      </c>
      <c r="F138" s="46">
        <f>'Consolidated underlying data'!F138</f>
        <v>1.8000000000000002E-2</v>
      </c>
      <c r="G138" s="28">
        <f>'Consolidated underlying data'!B138</f>
        <v>-0.03</v>
      </c>
      <c r="H138" s="30">
        <f t="shared" si="39"/>
        <v>-4.7151277013752546E-2</v>
      </c>
      <c r="I138" s="30">
        <f t="shared" si="48"/>
        <v>0.95284872298624745</v>
      </c>
      <c r="J138" s="28">
        <f t="shared" si="40"/>
        <v>0.94683675496688746</v>
      </c>
      <c r="K138" s="23">
        <f>('Consolidated underlying data'!B138+'Consolidated underlying data'!J138*$M$1)</f>
        <v>-2.1225000000000001E-2</v>
      </c>
      <c r="L138" s="106">
        <f t="shared" si="41"/>
        <v>-5.3062500000000002E-3</v>
      </c>
      <c r="M138" s="30">
        <f t="shared" si="42"/>
        <v>-3.8531434184675861E-2</v>
      </c>
      <c r="N138" s="30">
        <f t="shared" si="49"/>
        <v>0.96146856581532414</v>
      </c>
      <c r="O138" s="106">
        <f t="shared" si="43"/>
        <v>0.95561175496688744</v>
      </c>
      <c r="P138" s="106">
        <f t="shared" si="44"/>
        <v>-1.1097061258278145E-2</v>
      </c>
      <c r="Q138" s="106">
        <f t="shared" si="45"/>
        <v>-4.4388245033112582E-2</v>
      </c>
      <c r="R138" s="26">
        <f t="shared" si="37"/>
        <v>0.95777500000000004</v>
      </c>
      <c r="S138" s="106">
        <f t="shared" si="38"/>
        <v>-1.055625E-2</v>
      </c>
      <c r="T138" s="18">
        <f t="shared" si="28"/>
        <v>-4.2224999999999999E-2</v>
      </c>
      <c r="U138" s="61"/>
      <c r="V138" s="61"/>
      <c r="W138" s="61"/>
      <c r="X138" s="72"/>
      <c r="Y138" s="61"/>
      <c r="Z138" s="61"/>
      <c r="AA138" s="61"/>
      <c r="AB138" s="38"/>
      <c r="AC138" s="65"/>
      <c r="AG138" s="64"/>
    </row>
    <row r="139" spans="1:33" x14ac:dyDescent="0.35">
      <c r="A139" s="31">
        <v>2019</v>
      </c>
      <c r="B139" s="45">
        <v>8.8000000000000005E-3</v>
      </c>
      <c r="C139" s="43">
        <f t="shared" si="25"/>
        <v>2.2000000000000001E-3</v>
      </c>
      <c r="D139" s="45">
        <f>'Consolidated underlying data'!E139</f>
        <v>1.373314917127072E-2</v>
      </c>
      <c r="E139" s="47">
        <f t="shared" si="35"/>
        <v>3.43328729281768E-3</v>
      </c>
      <c r="F139" s="46">
        <f>'Consolidated underlying data'!F139</f>
        <v>1.8000000000000002E-2</v>
      </c>
      <c r="G139" s="28">
        <f>'Consolidated underlying data'!B139</f>
        <v>0.25800000000000001</v>
      </c>
      <c r="H139" s="30">
        <f t="shared" si="39"/>
        <v>0.23575638506876229</v>
      </c>
      <c r="I139" s="30">
        <f t="shared" ref="I139:I140" si="50">1+H139</f>
        <v>1.2357563850687623</v>
      </c>
      <c r="J139" s="28">
        <f t="shared" si="40"/>
        <v>1.2442668508287293</v>
      </c>
      <c r="K139" s="23">
        <f>('Consolidated underlying data'!B139+'Consolidated underlying data'!J139*$M$1)</f>
        <v>0.26632</v>
      </c>
      <c r="L139" s="106">
        <f t="shared" si="41"/>
        <v>6.658E-2</v>
      </c>
      <c r="M139" s="30">
        <f t="shared" si="42"/>
        <v>0.24392927308447931</v>
      </c>
      <c r="N139" s="30">
        <f t="shared" ref="N139:N140" si="51">M139+1</f>
        <v>1.2439292730844793</v>
      </c>
      <c r="O139" s="106">
        <f t="shared" si="43"/>
        <v>1.2525868508287292</v>
      </c>
      <c r="P139" s="106">
        <f t="shared" si="44"/>
        <v>6.314671270718232E-2</v>
      </c>
      <c r="Q139" s="106">
        <f t="shared" ref="Q139:Q140" si="52">P139*4</f>
        <v>0.25258685082872928</v>
      </c>
      <c r="R139" s="26">
        <f t="shared" si="37"/>
        <v>1.25752</v>
      </c>
      <c r="S139" s="106">
        <f t="shared" si="38"/>
        <v>6.4380000000000007E-2</v>
      </c>
      <c r="T139" s="18">
        <f t="shared" si="28"/>
        <v>0.25752000000000003</v>
      </c>
      <c r="U139" s="61"/>
      <c r="V139" s="61"/>
      <c r="W139" s="61"/>
      <c r="X139" s="72"/>
      <c r="Y139" s="61"/>
      <c r="Z139" s="61"/>
      <c r="AA139" s="61"/>
      <c r="AB139" s="38"/>
      <c r="AC139" s="65"/>
      <c r="AG139" s="64"/>
    </row>
    <row r="140" spans="1:33" x14ac:dyDescent="0.35">
      <c r="A140" s="31">
        <v>2020</v>
      </c>
      <c r="B140" s="45">
        <v>3.4000000000000002E-3</v>
      </c>
      <c r="C140" s="43">
        <f t="shared" si="25"/>
        <v>8.5000000000000006E-4</v>
      </c>
      <c r="D140" s="45">
        <f>'Consolidated underlying data'!E140</f>
        <v>9.7192307692307682E-3</v>
      </c>
      <c r="E140" s="47">
        <f t="shared" si="35"/>
        <v>2.4298076923076921E-3</v>
      </c>
      <c r="F140" s="46">
        <f>'Consolidated underlying data'!F140</f>
        <v>9.0000000000000011E-3</v>
      </c>
      <c r="G140" s="28">
        <f>'Consolidated underlying data'!B140</f>
        <v>3.4000000000000002E-2</v>
      </c>
      <c r="H140" s="30">
        <f t="shared" si="39"/>
        <v>2.4777006937562129E-2</v>
      </c>
      <c r="I140" s="30">
        <f t="shared" si="50"/>
        <v>1.0247770069375621</v>
      </c>
      <c r="J140" s="28">
        <f t="shared" si="40"/>
        <v>1.0242807692307692</v>
      </c>
      <c r="K140" s="23">
        <f>('Consolidated underlying data'!B140+'Consolidated underlying data'!J140*$M$1)</f>
        <v>4.0045000000000004E-2</v>
      </c>
      <c r="L140" s="106">
        <f t="shared" si="41"/>
        <v>1.0011250000000001E-2</v>
      </c>
      <c r="M140" s="30">
        <f t="shared" si="42"/>
        <v>3.0768087215064632E-2</v>
      </c>
      <c r="N140" s="30">
        <f t="shared" si="51"/>
        <v>1.0307680872150646</v>
      </c>
      <c r="O140" s="106">
        <f t="shared" si="43"/>
        <v>1.0303257692307692</v>
      </c>
      <c r="P140" s="106">
        <f t="shared" si="44"/>
        <v>7.581442307692309E-3</v>
      </c>
      <c r="Q140" s="106">
        <f t="shared" si="52"/>
        <v>3.0325769230769236E-2</v>
      </c>
      <c r="R140" s="26">
        <f t="shared" si="37"/>
        <v>1.036645</v>
      </c>
      <c r="S140" s="106">
        <f t="shared" si="38"/>
        <v>9.161250000000001E-3</v>
      </c>
      <c r="T140" s="18">
        <f t="shared" si="28"/>
        <v>3.6645000000000004E-2</v>
      </c>
      <c r="U140" s="61"/>
      <c r="V140" s="61"/>
      <c r="W140" s="61"/>
      <c r="X140" s="72"/>
      <c r="Y140" s="61"/>
      <c r="Z140" s="61"/>
      <c r="AA140" s="61"/>
      <c r="AB140" s="38"/>
      <c r="AC140" s="65"/>
      <c r="AG140" s="64"/>
    </row>
    <row r="141" spans="1:33" x14ac:dyDescent="0.35">
      <c r="A141" s="31">
        <v>2021</v>
      </c>
      <c r="B141" s="116">
        <v>1.32E-2</v>
      </c>
      <c r="C141" s="43">
        <f>B141/4</f>
        <v>3.3E-3</v>
      </c>
      <c r="D141" s="118">
        <f>'Consolidated underlying data'!E141</f>
        <v>1.6732967032967033E-2</v>
      </c>
      <c r="E141" s="47">
        <f t="shared" si="35"/>
        <v>4.1832417582417583E-3</v>
      </c>
      <c r="F141" s="46">
        <f>'Consolidated underlying data'!F141</f>
        <v>3.5000000000000003E-2</v>
      </c>
      <c r="G141" s="28">
        <f>'Consolidated underlying data'!B141</f>
        <v>0.152</v>
      </c>
      <c r="H141" s="30">
        <f t="shared" si="39"/>
        <v>0.11304347826086958</v>
      </c>
      <c r="I141" s="30">
        <f t="shared" ref="I141" si="53">1+H141</f>
        <v>1.1130434782608696</v>
      </c>
      <c r="J141" s="28">
        <f t="shared" si="40"/>
        <v>1.1352670329670329</v>
      </c>
      <c r="K141" s="23">
        <f>('Consolidated underlying data'!B141+'Consolidated underlying data'!J141*$M$1)</f>
        <v>0.159995</v>
      </c>
      <c r="L141" s="106">
        <f>K141/4</f>
        <v>3.999875E-2</v>
      </c>
      <c r="M141" s="30">
        <f t="shared" si="42"/>
        <v>0.12076811594202885</v>
      </c>
      <c r="N141" s="30">
        <f t="shared" ref="N141" si="54">M141+1</f>
        <v>1.1207681159420289</v>
      </c>
      <c r="O141" s="107">
        <f t="shared" si="43"/>
        <v>1.1432620329670329</v>
      </c>
      <c r="P141" s="106">
        <f t="shared" si="44"/>
        <v>3.5815508241758241E-2</v>
      </c>
      <c r="Q141" s="106">
        <f>P141*4</f>
        <v>0.14326203296703297</v>
      </c>
      <c r="R141" s="26">
        <f t="shared" si="37"/>
        <v>1.146795</v>
      </c>
      <c r="S141" s="106">
        <f t="shared" si="38"/>
        <v>3.6698750000000002E-2</v>
      </c>
      <c r="T141" s="18">
        <f>S141*4</f>
        <v>0.14679500000000001</v>
      </c>
      <c r="U141" s="61"/>
      <c r="V141" s="61"/>
      <c r="W141" s="61"/>
      <c r="X141" s="72"/>
      <c r="Y141" s="61"/>
      <c r="Z141" s="61"/>
      <c r="AA141" s="61"/>
      <c r="AB141" s="38"/>
      <c r="AC141" s="65"/>
      <c r="AG141" s="64"/>
    </row>
    <row r="142" spans="1:33" x14ac:dyDescent="0.35">
      <c r="A142" s="31" t="s">
        <v>75</v>
      </c>
      <c r="B142" s="116">
        <v>3.72047094659467E-2</v>
      </c>
      <c r="C142" s="43">
        <f>B142/4</f>
        <v>9.3011773664866751E-3</v>
      </c>
      <c r="D142" s="116">
        <f>'Consolidated underlying data'!E142</f>
        <v>3.9300464574669292E-2</v>
      </c>
      <c r="E142" s="47">
        <f t="shared" si="35"/>
        <v>9.8251161436673229E-3</v>
      </c>
      <c r="F142" s="45"/>
      <c r="G142" s="28">
        <f>'Consolidated underlying data'!B142</f>
        <v>-5.6832755763465297E-2</v>
      </c>
      <c r="H142" s="30"/>
      <c r="I142" s="30"/>
      <c r="J142" s="28"/>
      <c r="K142" s="23"/>
      <c r="L142" s="106">
        <f>'Consolidated underlying data'!B142/3+'Consolidated underlying data'!J142*M1/4</f>
        <v>-1.6945501921155098E-2</v>
      </c>
      <c r="M142" s="30"/>
      <c r="N142" s="30"/>
      <c r="O142" s="106"/>
      <c r="P142" s="106">
        <f t="shared" si="44"/>
        <v>-2.6770618064822421E-2</v>
      </c>
      <c r="Q142" s="106">
        <f>P142*3</f>
        <v>-8.0311854194467264E-2</v>
      </c>
      <c r="R142" s="26"/>
      <c r="S142" s="106">
        <f t="shared" si="38"/>
        <v>-2.6246679287641773E-2</v>
      </c>
      <c r="T142" s="18">
        <f>S142*3</f>
        <v>-7.8740037862925327E-2</v>
      </c>
      <c r="U142" s="61"/>
      <c r="V142" s="61"/>
      <c r="W142" s="61"/>
      <c r="X142" s="72"/>
      <c r="Y142" s="61"/>
      <c r="Z142" s="61"/>
      <c r="AA142" s="61"/>
      <c r="AB142" s="38"/>
      <c r="AC142" s="65"/>
      <c r="AG142" s="64"/>
    </row>
    <row r="143" spans="1:33" x14ac:dyDescent="0.35">
      <c r="A143" s="31" t="s">
        <v>76</v>
      </c>
      <c r="B143" s="116">
        <f>B142</f>
        <v>3.72047094659467E-2</v>
      </c>
      <c r="C143" s="116"/>
      <c r="D143" s="126">
        <f>D142</f>
        <v>3.9300464574669292E-2</v>
      </c>
      <c r="E143" s="116"/>
      <c r="F143" s="45"/>
      <c r="G143" s="104">
        <f>(1+G142)*(1+0.0614+D143)^(1/4)-1</f>
        <v>-3.3935781223931039E-2</v>
      </c>
      <c r="H143" s="30"/>
      <c r="I143" s="30"/>
      <c r="J143" s="28"/>
      <c r="K143" s="122">
        <f>G143+'Consolidated underlying data'!J142*M1</f>
        <v>-2.5940781223931036E-2</v>
      </c>
      <c r="L143" s="28"/>
      <c r="M143" s="30"/>
      <c r="N143" s="30"/>
      <c r="O143" s="28">
        <f>(K143-D143)+1</f>
        <v>0.93475875420139964</v>
      </c>
      <c r="P143" s="28"/>
      <c r="Q143" s="28"/>
      <c r="R143" s="26">
        <f>(K143-B143)+1</f>
        <v>0.93685450931012226</v>
      </c>
      <c r="S143" s="28"/>
      <c r="U143" s="61"/>
      <c r="V143" s="61"/>
      <c r="W143" s="61"/>
      <c r="X143" s="72"/>
      <c r="Y143" s="61"/>
      <c r="Z143" s="61"/>
      <c r="AA143" s="61"/>
      <c r="AB143" s="38"/>
      <c r="AC143" s="65"/>
      <c r="AG143" s="64"/>
    </row>
    <row r="144" spans="1:33" x14ac:dyDescent="0.35">
      <c r="A144" s="31"/>
      <c r="E144" s="116"/>
      <c r="F144" s="45"/>
      <c r="G144" s="28"/>
      <c r="H144" s="30"/>
      <c r="I144" s="30"/>
      <c r="J144" s="28"/>
      <c r="K144" s="28"/>
      <c r="L144" s="28"/>
      <c r="M144" s="30"/>
      <c r="N144" s="30"/>
      <c r="O144" s="106"/>
      <c r="P144" s="106"/>
      <c r="Q144" s="106"/>
      <c r="R144" s="26"/>
      <c r="S144" s="28"/>
      <c r="U144" s="61"/>
      <c r="V144" s="61"/>
      <c r="W144" s="61"/>
      <c r="X144" s="72"/>
      <c r="Y144" s="61"/>
      <c r="Z144" s="61"/>
      <c r="AA144" s="61"/>
      <c r="AB144" s="38"/>
      <c r="AC144" s="65"/>
      <c r="AG144" s="64"/>
    </row>
    <row r="145" spans="1:44" x14ac:dyDescent="0.35">
      <c r="A145" s="31"/>
      <c r="B145" s="45"/>
      <c r="C145" s="45"/>
      <c r="D145" s="45"/>
      <c r="E145" s="45"/>
      <c r="F145" s="45"/>
      <c r="G145" s="28"/>
      <c r="H145" s="30"/>
      <c r="I145" s="30"/>
      <c r="J145" s="28"/>
      <c r="K145" s="28"/>
      <c r="L145" s="28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72"/>
      <c r="Y145" s="61"/>
      <c r="Z145" s="61"/>
      <c r="AA145" s="61"/>
      <c r="AB145" s="38"/>
      <c r="AC145" s="65"/>
      <c r="AG145" s="64"/>
    </row>
    <row r="146" spans="1:44" ht="16" thickBot="1" x14ac:dyDescent="0.4">
      <c r="A146" s="31"/>
      <c r="B146" s="45"/>
      <c r="C146" s="45"/>
      <c r="D146" s="45"/>
      <c r="E146" s="45"/>
      <c r="F146" s="45"/>
      <c r="G146" s="28"/>
      <c r="H146" s="30"/>
      <c r="I146" s="30"/>
      <c r="J146" s="28"/>
      <c r="K146" s="28"/>
      <c r="L146" s="28"/>
      <c r="M146" s="30"/>
      <c r="N146" s="30"/>
      <c r="O146" s="30"/>
      <c r="P146" s="30"/>
      <c r="Q146" s="113"/>
      <c r="R146" s="30"/>
      <c r="S146" s="30"/>
      <c r="T146" s="30"/>
      <c r="U146" s="30"/>
      <c r="V146" s="30"/>
      <c r="W146" s="30"/>
      <c r="X146" s="72"/>
      <c r="Y146" s="61"/>
      <c r="Z146" s="61"/>
      <c r="AA146" s="61"/>
      <c r="AB146" s="38"/>
      <c r="AC146" s="65"/>
      <c r="AG146" s="64"/>
    </row>
    <row r="147" spans="1:44" ht="16" thickBot="1" x14ac:dyDescent="0.4">
      <c r="A147" s="34" t="s">
        <v>12</v>
      </c>
      <c r="B147" s="85"/>
      <c r="C147" s="85"/>
      <c r="D147" s="35"/>
      <c r="E147" s="35"/>
      <c r="F147" s="36"/>
      <c r="G147" s="133">
        <v>0</v>
      </c>
      <c r="H147" s="134"/>
      <c r="I147" s="134"/>
      <c r="J147" s="134"/>
      <c r="K147" s="138">
        <v>0.65</v>
      </c>
      <c r="L147" s="139"/>
      <c r="M147" s="139"/>
      <c r="N147" s="139"/>
      <c r="O147" s="139"/>
      <c r="P147" s="139"/>
      <c r="Q147" s="139"/>
      <c r="R147" s="140"/>
      <c r="S147" s="109"/>
    </row>
    <row r="148" spans="1:44" s="37" customFormat="1" x14ac:dyDescent="0.35">
      <c r="U148" s="18"/>
      <c r="V148" s="18"/>
      <c r="W148" s="18"/>
      <c r="AB148" s="68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68"/>
      <c r="AR148" s="68"/>
    </row>
    <row r="149" spans="1:44" ht="93" x14ac:dyDescent="0.35">
      <c r="A149" s="48"/>
      <c r="B149" s="57" t="s">
        <v>16</v>
      </c>
      <c r="C149" s="57"/>
      <c r="D149" s="58" t="s">
        <v>17</v>
      </c>
      <c r="E149" s="58"/>
      <c r="F149" s="57" t="s">
        <v>22</v>
      </c>
      <c r="G149" s="58" t="s">
        <v>21</v>
      </c>
      <c r="H149" s="58" t="s">
        <v>18</v>
      </c>
      <c r="I149" s="57" t="s">
        <v>19</v>
      </c>
      <c r="J149" s="57" t="s">
        <v>16</v>
      </c>
      <c r="K149" s="57" t="s">
        <v>20</v>
      </c>
      <c r="L149" s="57"/>
      <c r="M149" s="57" t="s">
        <v>22</v>
      </c>
      <c r="N149" s="58" t="s">
        <v>21</v>
      </c>
      <c r="O149" s="58" t="s">
        <v>38</v>
      </c>
      <c r="P149" s="58"/>
      <c r="Q149" s="58"/>
      <c r="R149" s="57" t="s">
        <v>39</v>
      </c>
      <c r="S149" s="57" t="s">
        <v>73</v>
      </c>
      <c r="T149" s="32"/>
      <c r="Y149" s="58" t="s">
        <v>41</v>
      </c>
      <c r="Z149" s="57" t="s">
        <v>42</v>
      </c>
      <c r="AA149" s="57" t="s">
        <v>67</v>
      </c>
      <c r="AB149" s="68"/>
      <c r="AQ149" s="18"/>
      <c r="AR149" s="18"/>
    </row>
    <row r="150" spans="1:44" x14ac:dyDescent="0.35">
      <c r="A150" s="127" t="s">
        <v>68</v>
      </c>
      <c r="B150" s="121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4">
        <f>GEOMEAN(O3:O139)-1</f>
        <v>5.0413296828768939E-2</v>
      </c>
      <c r="P150" s="120"/>
      <c r="Q150" s="120"/>
      <c r="R150" s="124">
        <f>AVERAGE(O3:O139)-1</f>
        <v>6.3754554474029668E-2</v>
      </c>
      <c r="S150" s="120"/>
      <c r="T150" s="32"/>
      <c r="U150" s="115"/>
      <c r="X150" s="22" t="s">
        <v>74</v>
      </c>
      <c r="Y150" s="105">
        <f>GEOMEAN(R92:R139)-1</f>
        <v>4.3468265232237346E-2</v>
      </c>
      <c r="Z150" s="105">
        <f>AVERAGE(R92:R139)-1</f>
        <v>6.8095256432196827E-2</v>
      </c>
      <c r="AQ150" s="18"/>
      <c r="AR150" s="18"/>
    </row>
    <row r="151" spans="1:44" x14ac:dyDescent="0.35">
      <c r="A151" s="52" t="s">
        <v>33</v>
      </c>
      <c r="B151" s="60">
        <f>AVERAGE(H3:H141)</f>
        <v>8.3869825427128078E-2</v>
      </c>
      <c r="C151" s="60"/>
      <c r="D151" s="60">
        <f>GEOMEAN(I3:I141)-1</f>
        <v>7.0210197186133971E-2</v>
      </c>
      <c r="E151" s="60"/>
      <c r="F151" s="53">
        <f>((1+B151)*(1+$B$165))-1</f>
        <v>0.11096657106280627</v>
      </c>
      <c r="G151" s="53">
        <f>((1+D151)*(1+$B$165))-1</f>
        <v>9.6965452115787221E-2</v>
      </c>
      <c r="H151" s="60">
        <f>GEOMEAN(J3:J141)-1</f>
        <v>4.8306969976350977E-2</v>
      </c>
      <c r="I151" s="60">
        <f>AVERAGE(J3:J141)-1</f>
        <v>6.1533798851469035E-2</v>
      </c>
      <c r="J151" s="60">
        <f>AVERAGE(M3:M141)</f>
        <v>8.6344652485607701E-2</v>
      </c>
      <c r="K151" s="60">
        <f>GEOMEAN(N3:N141)-1</f>
        <v>7.2700916115761904E-2</v>
      </c>
      <c r="L151" s="60"/>
      <c r="M151" s="53">
        <f>((1+J151)*(1+$B$165))-1</f>
        <v>0.11350326879774775</v>
      </c>
      <c r="N151" s="53">
        <f>((1+K151)*(1+$B$165))-1</f>
        <v>9.9518439018655869E-2</v>
      </c>
      <c r="O151" s="124">
        <f>GEOMEAN(O3:O141)-1</f>
        <v>5.0907585211444228E-2</v>
      </c>
      <c r="P151" s="60"/>
      <c r="Q151" s="60"/>
      <c r="R151" s="105">
        <f>AVERAGE(O3:O141)-1</f>
        <v>6.4086055864315705E-2</v>
      </c>
      <c r="S151" s="103">
        <f>SUM(Q3:Q141)/(139*4)*4</f>
        <v>6.4086055864314886E-2</v>
      </c>
      <c r="T151" s="32"/>
      <c r="X151" s="52" t="s">
        <v>40</v>
      </c>
      <c r="Y151" s="105">
        <f>GEOMEAN(R92:R141)-1</f>
        <v>4.53034713383349E-2</v>
      </c>
      <c r="Z151" s="105">
        <f>AVERAGE(R92:R141)-1</f>
        <v>6.9040246174908892E-2</v>
      </c>
      <c r="AA151" s="117">
        <f>SUM(T92:T141)/(50*4)*4</f>
        <v>6.9040246174908934E-2</v>
      </c>
      <c r="AQ151" s="18"/>
      <c r="AR151" s="18"/>
    </row>
    <row r="152" spans="1:44" x14ac:dyDescent="0.35">
      <c r="A152" s="52" t="s">
        <v>81</v>
      </c>
      <c r="B152" s="60"/>
      <c r="C152" s="60"/>
      <c r="D152" s="60"/>
      <c r="E152" s="60"/>
      <c r="F152" s="53"/>
      <c r="G152" s="53"/>
      <c r="H152" s="60"/>
      <c r="I152" s="60"/>
      <c r="J152" s="60"/>
      <c r="K152" s="60"/>
      <c r="L152" s="60"/>
      <c r="M152" s="53"/>
      <c r="N152" s="53"/>
      <c r="O152" s="124">
        <f>GEOMEAN(O3:O141, O143)-1</f>
        <v>5.0028786406848935E-2</v>
      </c>
      <c r="P152" s="60"/>
      <c r="Q152" s="60"/>
      <c r="R152" s="105">
        <f>SUM(Q3:Q142)/(139*4+3)*4</f>
        <v>6.3167441223222182E-2</v>
      </c>
      <c r="S152" s="103"/>
      <c r="T152" s="32"/>
      <c r="X152" s="52" t="s">
        <v>86</v>
      </c>
      <c r="Y152" s="105">
        <f>GEOMEAN(R92:R141,R143)-1</f>
        <v>4.3060844750061111E-2</v>
      </c>
      <c r="Z152" s="105">
        <f>SUM(T92:T142)/(50*4+3)*4</f>
        <v>6.6468419130690071E-2</v>
      </c>
      <c r="AA152" s="117"/>
      <c r="AQ152" s="18"/>
      <c r="AR152" s="18"/>
    </row>
    <row r="153" spans="1:44" x14ac:dyDescent="0.35">
      <c r="A153" s="52" t="s">
        <v>69</v>
      </c>
      <c r="B153" s="60"/>
      <c r="C153" s="60"/>
      <c r="D153" s="60"/>
      <c r="E153" s="60"/>
      <c r="F153" s="53"/>
      <c r="G153" s="53"/>
      <c r="H153" s="60"/>
      <c r="I153" s="60"/>
      <c r="J153" s="60"/>
      <c r="K153" s="60"/>
      <c r="L153" s="60"/>
      <c r="M153" s="53"/>
      <c r="N153" s="53"/>
      <c r="O153" s="124">
        <f>GEOMEAN(O57:O139)-1</f>
        <v>4.3493321476784308E-2</v>
      </c>
      <c r="P153" s="60"/>
      <c r="Q153" s="60"/>
      <c r="R153" s="105">
        <f>AVERAGE(O57:O139)-1</f>
        <v>6.1534626059541742E-2</v>
      </c>
      <c r="S153" s="103"/>
      <c r="T153" s="32"/>
      <c r="X153" s="52" t="s">
        <v>71</v>
      </c>
      <c r="Y153" s="105">
        <f>GEOMEAN(R100:R139)-1</f>
        <v>4.8256544433443072E-2</v>
      </c>
      <c r="Z153" s="105">
        <f>AVERAGE(R100:R139)-1</f>
        <v>6.961680771863632E-2</v>
      </c>
      <c r="AA153" s="117"/>
      <c r="AQ153" s="18"/>
      <c r="AR153" s="18"/>
    </row>
    <row r="154" spans="1:44" x14ac:dyDescent="0.35">
      <c r="A154" s="52" t="s">
        <v>34</v>
      </c>
      <c r="B154" s="60">
        <f>AVERAGE(H57:H141)</f>
        <v>7.0837763718632832E-2</v>
      </c>
      <c r="C154" s="60"/>
      <c r="D154" s="60">
        <f>GEOMEAN(I57:I141)-1</f>
        <v>5.3824600493955987E-2</v>
      </c>
      <c r="E154" s="60"/>
      <c r="F154" s="53">
        <f>((1+B154)*(1+$B$165))-1</f>
        <v>9.7608707811598583E-2</v>
      </c>
      <c r="G154" s="53">
        <f>((1+D154)*(1+$B$165))-1</f>
        <v>8.0170215506304876E-2</v>
      </c>
      <c r="H154" s="60">
        <f>GEOMEAN(J57:J141)-1</f>
        <v>4.0235495464524762E-2</v>
      </c>
      <c r="I154" s="60">
        <f>AVERAGE(J57:J141)-1</f>
        <v>5.7955271062990477E-2</v>
      </c>
      <c r="J154" s="60">
        <f>AVERAGE(M57:M141)</f>
        <v>7.4884833849558297E-2</v>
      </c>
      <c r="K154" s="60">
        <f>GEOMEAN(N57:N141)-1</f>
        <v>5.7838261539438163E-2</v>
      </c>
      <c r="L154" s="60"/>
      <c r="M154" s="53">
        <f>((1+J154)*(1+$B$165))-1</f>
        <v>0.10175695469579704</v>
      </c>
      <c r="N154" s="53">
        <f>((1+K154)*(1+$B$165))-1</f>
        <v>8.4284218077923967E-2</v>
      </c>
      <c r="O154" s="124">
        <f>GEOMEAN(O57:O141)-1</f>
        <v>4.4458846336662416E-2</v>
      </c>
      <c r="P154" s="60"/>
      <c r="Q154" s="60"/>
      <c r="R154" s="105">
        <f>AVERAGE(O57:O141)-1</f>
        <v>6.2128961942820693E-2</v>
      </c>
      <c r="S154" s="103">
        <f>SUM(Q57:Q141)/(85*4)*4</f>
        <v>6.2128961942820714E-2</v>
      </c>
      <c r="T154" s="32"/>
      <c r="X154" s="52" t="s">
        <v>36</v>
      </c>
      <c r="Y154" s="105">
        <f>GEOMEAN(R100:R141)-1</f>
        <v>5.0222717288624708E-2</v>
      </c>
      <c r="Z154" s="105">
        <f>AVERAGE(R100:R141)-1</f>
        <v>7.066934068441566E-2</v>
      </c>
      <c r="AA154" s="117">
        <f>SUM(T100:T141)/(42*4)*4</f>
        <v>7.0669340684415397E-2</v>
      </c>
      <c r="AQ154" s="18"/>
      <c r="AR154" s="18"/>
    </row>
    <row r="155" spans="1:44" x14ac:dyDescent="0.35">
      <c r="A155" s="52" t="s">
        <v>82</v>
      </c>
      <c r="B155" s="60"/>
      <c r="C155" s="60"/>
      <c r="D155" s="60"/>
      <c r="E155" s="60"/>
      <c r="F155" s="53"/>
      <c r="G155" s="53"/>
      <c r="H155" s="60"/>
      <c r="I155" s="60"/>
      <c r="J155" s="60"/>
      <c r="K155" s="60"/>
      <c r="L155" s="60"/>
      <c r="M155" s="53"/>
      <c r="N155" s="53"/>
      <c r="O155" s="124">
        <f>GEOMEAN(O57:O141,O143)-1</f>
        <v>4.311205136318863E-2</v>
      </c>
      <c r="P155" s="60"/>
      <c r="Q155" s="60"/>
      <c r="R155" s="105">
        <f>SUM(Q57:Q142)/(85*4+3)*4</f>
        <v>6.0648978553297886E-2</v>
      </c>
      <c r="S155" s="103"/>
      <c r="T155" s="32"/>
      <c r="X155" s="52" t="s">
        <v>84</v>
      </c>
      <c r="Y155" s="105">
        <f>GEOMEAN(R100:R141,R143)-1</f>
        <v>4.7436502213645815E-2</v>
      </c>
      <c r="Z155" s="105">
        <f>SUM(T100:T142)/(42*4+3)*4</f>
        <v>6.7587655459240267E-2</v>
      </c>
      <c r="AA155" s="117"/>
      <c r="AQ155" s="18"/>
      <c r="AR155" s="18"/>
    </row>
    <row r="156" spans="1:44" x14ac:dyDescent="0.35">
      <c r="A156" s="52" t="s">
        <v>70</v>
      </c>
      <c r="B156" s="60"/>
      <c r="C156" s="60"/>
      <c r="D156" s="60"/>
      <c r="E156" s="60"/>
      <c r="F156" s="53"/>
      <c r="G156" s="53"/>
      <c r="H156" s="60"/>
      <c r="I156" s="60"/>
      <c r="J156" s="60"/>
      <c r="K156" s="60"/>
      <c r="L156" s="60"/>
      <c r="M156" s="53"/>
      <c r="N156" s="53"/>
      <c r="O156" s="124">
        <f>GEOMEAN(O78:O139)-1</f>
        <v>4.4225601441840734E-2</v>
      </c>
      <c r="P156" s="60"/>
      <c r="Q156" s="60"/>
      <c r="R156" s="105">
        <f>AVERAGE(O78:O139)-1</f>
        <v>6.6812483273257284E-2</v>
      </c>
      <c r="S156" s="103"/>
      <c r="T156" s="32"/>
      <c r="X156" s="52" t="s">
        <v>72</v>
      </c>
      <c r="Y156" s="105">
        <f>GEOMEAN(R108:R139)-1</f>
        <v>5.1569309590659529E-2</v>
      </c>
      <c r="Z156" s="105">
        <f>AVERAGE(R108:R139)-1</f>
        <v>6.6621009648295093E-2</v>
      </c>
      <c r="AA156" s="117"/>
      <c r="AQ156" s="18"/>
      <c r="AR156" s="18"/>
    </row>
    <row r="157" spans="1:44" x14ac:dyDescent="0.35">
      <c r="A157" s="52" t="s">
        <v>35</v>
      </c>
      <c r="B157" s="60">
        <f>AVERAGE(H78:H141)</f>
        <v>8.3833918611732949E-2</v>
      </c>
      <c r="C157" s="60"/>
      <c r="D157" s="60">
        <f>GEOMEAN(I78:I141)-1</f>
        <v>6.3627441153661479E-2</v>
      </c>
      <c r="E157" s="60"/>
      <c r="F157" s="53">
        <f>((1+B157)*(1+$B$165))-1</f>
        <v>0.11092976657702613</v>
      </c>
      <c r="G157" s="53">
        <f>((1+D157)*(1+$B$165))-1</f>
        <v>9.0218127182502883E-2</v>
      </c>
      <c r="H157" s="60">
        <f>GEOMEAN(J79:J141)-1</f>
        <v>3.8358941739525143E-2</v>
      </c>
      <c r="I157" s="60">
        <f>AVERAGE(J78:J141)-1</f>
        <v>6.1893719380534451E-2</v>
      </c>
      <c r="J157" s="60">
        <f>AVERAGE(M78:M141)</f>
        <v>8.9208933629368325E-2</v>
      </c>
      <c r="K157" s="60">
        <f>GEOMEAN(N78:N141)-1</f>
        <v>6.9011030226397985E-2</v>
      </c>
      <c r="L157" s="60"/>
      <c r="M157" s="53">
        <f>((1+J157)*(1+$B$165))-1</f>
        <v>0.11643915697010243</v>
      </c>
      <c r="N157" s="53">
        <f>((1+K157)*(1+$B$165))-1</f>
        <v>9.5736305982057734E-2</v>
      </c>
      <c r="O157" s="124">
        <f>GEOMEAN(O78:O141)-1</f>
        <v>4.5486114136570333E-2</v>
      </c>
      <c r="P157" s="60"/>
      <c r="Q157" s="60"/>
      <c r="R157" s="105">
        <f>AVERAGE(O78:O141)-1</f>
        <v>6.7436902580308544E-2</v>
      </c>
      <c r="S157" s="103">
        <f>SUM(Q78:Q141)/(64*4)*4</f>
        <v>6.7436902580308794E-2</v>
      </c>
      <c r="T157" s="32"/>
      <c r="X157" s="52" t="s">
        <v>37</v>
      </c>
      <c r="Y157" s="105">
        <f>GEOMEAN(R108:R141)-1</f>
        <v>5.3810714092875633E-2</v>
      </c>
      <c r="Z157" s="105">
        <f>AVERAGE(R108:R141)-1</f>
        <v>6.8097420845454115E-2</v>
      </c>
      <c r="AA157" s="117">
        <f>SUM(T108:T141)/(34*4)*4</f>
        <v>6.8097420845454337E-2</v>
      </c>
      <c r="AQ157" s="18"/>
      <c r="AR157" s="18"/>
    </row>
    <row r="158" spans="1:44" x14ac:dyDescent="0.35">
      <c r="A158" s="52" t="s">
        <v>83</v>
      </c>
      <c r="B158" s="60"/>
      <c r="C158" s="60"/>
      <c r="D158" s="60"/>
      <c r="E158" s="60"/>
      <c r="F158" s="53"/>
      <c r="G158" s="53"/>
      <c r="H158" s="60"/>
      <c r="I158" s="60"/>
      <c r="J158" s="60"/>
      <c r="K158" s="60"/>
      <c r="L158" s="60"/>
      <c r="M158" s="53"/>
      <c r="N158" s="53"/>
      <c r="O158" s="124">
        <f>GEOMEAN(O78:O141,O143)-1</f>
        <v>4.3687035046166001E-2</v>
      </c>
      <c r="P158" s="60"/>
      <c r="Q158" s="60"/>
      <c r="R158" s="105">
        <f>SUM(Q78:Q142)/(64*4+3)*4</f>
        <v>6.5415442640081783E-2</v>
      </c>
      <c r="S158" s="103"/>
      <c r="T158" s="32"/>
      <c r="X158" s="52" t="s">
        <v>85</v>
      </c>
      <c r="Y158" s="105">
        <f>GEOMEAN(R108:R141,R143)-1</f>
        <v>5.0274647846124676E-2</v>
      </c>
      <c r="Z158" s="105">
        <f>SUM(T108:T142)/(34*4+3)*4</f>
        <v>6.4361791967842363E-2</v>
      </c>
      <c r="AA158" s="33"/>
      <c r="AQ158" s="18"/>
      <c r="AR158" s="18"/>
    </row>
    <row r="159" spans="1:44" ht="35.25" customHeight="1" x14ac:dyDescent="0.35">
      <c r="A159" s="52" t="s">
        <v>71</v>
      </c>
      <c r="B159" s="60"/>
      <c r="C159" s="60"/>
      <c r="D159" s="60"/>
      <c r="E159" s="60"/>
      <c r="F159" s="53"/>
      <c r="G159" s="53"/>
      <c r="H159" s="60"/>
      <c r="I159" s="60"/>
      <c r="J159" s="60"/>
      <c r="K159" s="60"/>
      <c r="L159" s="60"/>
      <c r="M159" s="53"/>
      <c r="N159" s="53"/>
      <c r="O159" s="124">
        <f>GEOMEAN(O100:O139)-1</f>
        <v>4.5643900147176897E-2</v>
      </c>
      <c r="P159" s="60"/>
      <c r="Q159" s="60"/>
      <c r="R159" s="105">
        <f>AVERAGE(O100:O139)-1</f>
        <v>6.7059349073549157E-2</v>
      </c>
      <c r="S159" s="103"/>
      <c r="T159" s="32"/>
      <c r="AA159" s="33"/>
      <c r="AQ159" s="18"/>
      <c r="AR159" s="18"/>
    </row>
    <row r="160" spans="1:44" x14ac:dyDescent="0.35">
      <c r="A160" s="52" t="s">
        <v>36</v>
      </c>
      <c r="B160" s="60">
        <f>AVERAGE(H100:H141)</f>
        <v>8.9983516965065333E-2</v>
      </c>
      <c r="C160" s="60"/>
      <c r="D160" s="60">
        <f>GEOMEAN(I100:I141)-1</f>
        <v>7.1946288714085149E-2</v>
      </c>
      <c r="E160" s="60"/>
      <c r="F160" s="53">
        <f>((1+B160)*(1+$B$165))-1</f>
        <v>0.11723310488919192</v>
      </c>
      <c r="G160" s="53">
        <f>((1+D160)*(1+$B$165))-1</f>
        <v>9.8744945931937167E-2</v>
      </c>
      <c r="H160" s="60">
        <f>GEOMEAN(J100:J141)-1</f>
        <v>3.8945788963281602E-2</v>
      </c>
      <c r="I160" s="60">
        <f>AVERAGE(J100:J141)-1</f>
        <v>5.955233429414819E-2</v>
      </c>
      <c r="J160" s="60">
        <f>AVERAGE(M100:M141)</f>
        <v>9.817401603955736E-2</v>
      </c>
      <c r="K160" s="60">
        <f>GEOMEAN(N100:N141)-1</f>
        <v>8.0224966011551713E-2</v>
      </c>
      <c r="L160" s="60"/>
      <c r="M160" s="53">
        <f>((1+J160)*(1+$B$165))-1</f>
        <v>0.1256283664405462</v>
      </c>
      <c r="N160" s="53">
        <f>((1+K160)*(1+$B$165))-1</f>
        <v>0.10723059016184044</v>
      </c>
      <c r="O160" s="124">
        <f>GEOMEAN(O100:O141)-1</f>
        <v>4.7500192180909062E-2</v>
      </c>
      <c r="P160" s="60"/>
      <c r="Q160" s="60"/>
      <c r="R160" s="105">
        <f>AVERAGE(O100:O141)-1</f>
        <v>6.799908964618484E-2</v>
      </c>
      <c r="S160" s="103">
        <f>SUM(Q100:Q141)/(42*4)*4</f>
        <v>6.7999089646184827E-2</v>
      </c>
      <c r="T160" s="32"/>
      <c r="Z160" s="31"/>
      <c r="AA160" s="33"/>
      <c r="AQ160" s="18"/>
      <c r="AR160" s="18"/>
    </row>
    <row r="161" spans="1:44" x14ac:dyDescent="0.35">
      <c r="A161" s="52" t="s">
        <v>84</v>
      </c>
      <c r="B161" s="60"/>
      <c r="C161" s="60"/>
      <c r="D161" s="60"/>
      <c r="E161" s="60"/>
      <c r="F161" s="53"/>
      <c r="G161" s="53"/>
      <c r="H161" s="60"/>
      <c r="I161" s="60"/>
      <c r="J161" s="60"/>
      <c r="K161" s="60"/>
      <c r="L161" s="60"/>
      <c r="M161" s="53"/>
      <c r="N161" s="53"/>
      <c r="O161" s="124">
        <f>GEOMEAN(O100:O141,O143)-1</f>
        <v>4.4729853600211866E-2</v>
      </c>
      <c r="P161" s="60"/>
      <c r="Q161" s="60"/>
      <c r="R161" s="105">
        <f>SUM(Q100:Q142)/(42*4+3)*4</f>
        <v>6.4927483296965974E-2</v>
      </c>
      <c r="S161" s="103"/>
      <c r="T161" s="32"/>
      <c r="Z161" s="31"/>
      <c r="AA161" s="33"/>
      <c r="AQ161" s="18"/>
      <c r="AR161" s="18"/>
    </row>
    <row r="162" spans="1:44" x14ac:dyDescent="0.35">
      <c r="A162" s="52" t="s">
        <v>72</v>
      </c>
      <c r="B162" s="60"/>
      <c r="C162" s="60"/>
      <c r="D162" s="60"/>
      <c r="E162" s="60"/>
      <c r="F162" s="53"/>
      <c r="G162" s="53"/>
      <c r="H162" s="60"/>
      <c r="I162" s="60"/>
      <c r="J162" s="60"/>
      <c r="K162" s="60"/>
      <c r="L162" s="60"/>
      <c r="M162" s="53"/>
      <c r="N162" s="53"/>
      <c r="O162" s="124">
        <f>GEOMEAN(O108:O139)-1</f>
        <v>4.8706126553465623E-2</v>
      </c>
      <c r="P162" s="60"/>
      <c r="Q162" s="60"/>
      <c r="R162" s="105">
        <f>AVERAGE(O108:O139)-1</f>
        <v>6.3730436341936425E-2</v>
      </c>
      <c r="S162" s="103"/>
      <c r="T162" s="32"/>
      <c r="Z162" s="31"/>
      <c r="AA162" s="33"/>
      <c r="AQ162" s="18"/>
      <c r="AR162" s="18"/>
    </row>
    <row r="163" spans="1:44" x14ac:dyDescent="0.35">
      <c r="A163" s="52" t="s">
        <v>37</v>
      </c>
      <c r="B163" s="60">
        <f>AVERAGE(H108:H141)</f>
        <v>8.234416822147575E-2</v>
      </c>
      <c r="C163" s="60"/>
      <c r="D163" s="60">
        <f>GEOMEAN(I108:I141)-1</f>
        <v>6.888940133047794E-2</v>
      </c>
      <c r="E163" s="60"/>
      <c r="F163" s="53">
        <f>((1+B163)*(1+$B$165))-1</f>
        <v>0.10940277242701257</v>
      </c>
      <c r="G163" s="53">
        <f>((1+D163)*(1+$B$165))-1</f>
        <v>9.5611636363739816E-2</v>
      </c>
      <c r="H163" s="60">
        <f>GEOMEAN(J108:J141)-1</f>
        <v>4.0235069251767452E-2</v>
      </c>
      <c r="I163" s="60">
        <f>AVERAGE(J108:J141)-1</f>
        <v>5.465288353983011E-2</v>
      </c>
      <c r="J163" s="60">
        <f>AVERAGE(M108:M141)</f>
        <v>9.2461843548789419E-2</v>
      </c>
      <c r="K163" s="60">
        <f>GEOMEAN(N108:N141)-1</f>
        <v>7.9096086460284543E-2</v>
      </c>
      <c r="L163" s="60"/>
      <c r="M163" s="53">
        <f>((1+J163)*(1+$B$165))-1</f>
        <v>0.11977338963750905</v>
      </c>
      <c r="N163" s="53">
        <f>((1+K163)*(1+$B$165))-1</f>
        <v>0.10607348862179156</v>
      </c>
      <c r="O163" s="124">
        <f>GEOMEAN(O108:O141)-1</f>
        <v>5.0825614055431734E-2</v>
      </c>
      <c r="P163" s="60"/>
      <c r="Q163" s="60"/>
      <c r="R163" s="105">
        <f>AVERAGE(O108:O141)-1</f>
        <v>6.5087110739404874E-2</v>
      </c>
      <c r="S163" s="117">
        <f>SUM(Q108:Q141)/(34*4)*4</f>
        <v>6.5087110739404805E-2</v>
      </c>
      <c r="T163" s="32"/>
      <c r="X163" s="132" t="s">
        <v>49</v>
      </c>
      <c r="Y163" s="132"/>
      <c r="Z163" s="132"/>
      <c r="AA163" s="132"/>
      <c r="AB163" s="132"/>
      <c r="AQ163" s="18"/>
      <c r="AR163" s="18"/>
    </row>
    <row r="164" spans="1:44" ht="31" x14ac:dyDescent="0.35">
      <c r="A164" s="31" t="s">
        <v>85</v>
      </c>
      <c r="B164" s="119"/>
      <c r="C164" s="119"/>
      <c r="D164" s="119"/>
      <c r="E164" s="119"/>
      <c r="F164" s="51"/>
      <c r="G164" s="51"/>
      <c r="H164" s="119"/>
      <c r="I164" s="119"/>
      <c r="J164" s="119"/>
      <c r="K164" s="119"/>
      <c r="L164" s="119"/>
      <c r="M164" s="51"/>
      <c r="N164" s="51"/>
      <c r="O164" s="125">
        <f>GEOMEAN(O108:O141,O143)-1</f>
        <v>4.7317433601986147E-2</v>
      </c>
      <c r="P164" s="119"/>
      <c r="Q164" s="119"/>
      <c r="R164" s="123">
        <f>SUM(Q108:Q142)/(34*4+3)*4</f>
        <v>6.1371220458857449E-2</v>
      </c>
      <c r="S164" s="32"/>
      <c r="T164" s="32"/>
      <c r="X164" s="55" t="s">
        <v>47</v>
      </c>
      <c r="Y164" s="55" t="s">
        <v>25</v>
      </c>
      <c r="Z164" s="55" t="s">
        <v>26</v>
      </c>
      <c r="AA164" s="55" t="s">
        <v>27</v>
      </c>
      <c r="AB164" s="55" t="s">
        <v>28</v>
      </c>
      <c r="AQ164" s="18"/>
      <c r="AR164" s="18"/>
    </row>
    <row r="165" spans="1:44" x14ac:dyDescent="0.35">
      <c r="A165" s="49" t="s">
        <v>23</v>
      </c>
      <c r="B165" s="51">
        <v>2.5000000000000001E-2</v>
      </c>
      <c r="C165" s="51"/>
      <c r="D165" s="32"/>
      <c r="E165" s="32"/>
      <c r="F165" s="32"/>
      <c r="G165" s="49"/>
      <c r="H165" s="50"/>
      <c r="I165" s="31"/>
      <c r="J165" s="32"/>
      <c r="K165" s="49"/>
      <c r="L165" s="49"/>
      <c r="M165" s="50"/>
      <c r="N165" s="32"/>
      <c r="O165" s="32"/>
      <c r="P165" s="32"/>
      <c r="Q165" s="32"/>
      <c r="R165" s="32"/>
      <c r="S165" s="32"/>
      <c r="T165" s="32"/>
      <c r="X165" s="54" t="s">
        <v>40</v>
      </c>
      <c r="Y165" s="56">
        <f>_xlfn.STDEV.S(R92:R141)</f>
        <v>0.21688470361768161</v>
      </c>
      <c r="Z165" s="39">
        <f>COUNTA(R92:R141)</f>
        <v>50</v>
      </c>
      <c r="AA165" s="56">
        <f>Y165/SQRT(Z165)</f>
        <v>3.0672128932739441E-2</v>
      </c>
      <c r="AB165" s="40">
        <f>AA165*100</f>
        <v>3.0672128932739442</v>
      </c>
      <c r="AR165" s="18"/>
    </row>
    <row r="166" spans="1:44" x14ac:dyDescent="0.35">
      <c r="F166" s="33"/>
      <c r="G166" s="38"/>
      <c r="J166" s="33"/>
      <c r="K166" s="38"/>
      <c r="L166" s="38"/>
      <c r="N166" s="18"/>
      <c r="O166" s="27"/>
      <c r="P166" s="27"/>
      <c r="Q166" s="27"/>
      <c r="T166" s="114"/>
      <c r="X166" s="54" t="s">
        <v>36</v>
      </c>
      <c r="Y166" s="56">
        <f>_xlfn.STDEV.S(R100:R141)</f>
        <v>0.20232833302679007</v>
      </c>
      <c r="Z166" s="39">
        <f>COUNTA(R100:R141)</f>
        <v>42</v>
      </c>
      <c r="AA166" s="56">
        <f>Y166/SQRT(Z166)</f>
        <v>3.1219939578279465E-2</v>
      </c>
      <c r="AB166" s="40">
        <f t="shared" ref="AB166:AB167" si="55">AA166*100</f>
        <v>3.1219939578279465</v>
      </c>
    </row>
    <row r="167" spans="1:44" x14ac:dyDescent="0.35">
      <c r="F167" s="33"/>
      <c r="G167" s="38"/>
      <c r="J167" s="33"/>
      <c r="K167" s="38"/>
      <c r="L167" s="38"/>
      <c r="N167" s="18"/>
      <c r="X167" s="54" t="s">
        <v>37</v>
      </c>
      <c r="Y167" s="56">
        <f>_xlfn.STDEV.S(R108:R141)</f>
        <v>0.16409148699323395</v>
      </c>
      <c r="Z167" s="39">
        <f>COUNTA(R108:R141)</f>
        <v>34</v>
      </c>
      <c r="AA167" s="56">
        <f>Y167/SQRT(Z167)</f>
        <v>2.8141457853270012E-2</v>
      </c>
      <c r="AB167" s="40">
        <f t="shared" si="55"/>
        <v>2.8141457853270011</v>
      </c>
    </row>
    <row r="168" spans="1:44" x14ac:dyDescent="0.35">
      <c r="F168" s="33"/>
      <c r="G168" s="38"/>
      <c r="J168" s="33"/>
      <c r="K168" s="132" t="s">
        <v>48</v>
      </c>
      <c r="L168" s="132"/>
      <c r="M168" s="132"/>
      <c r="N168" s="132"/>
      <c r="O168" s="132"/>
      <c r="P168" s="132"/>
      <c r="Q168" s="132"/>
      <c r="R168" s="132"/>
      <c r="S168" s="110"/>
      <c r="X168" s="38" t="s">
        <v>32</v>
      </c>
      <c r="Y168" s="38"/>
      <c r="AB168" s="18"/>
    </row>
    <row r="169" spans="1:44" ht="31" x14ac:dyDescent="0.35">
      <c r="F169" s="33"/>
      <c r="G169" s="38"/>
      <c r="J169" s="33"/>
      <c r="K169" s="55" t="s">
        <v>47</v>
      </c>
      <c r="L169" s="55"/>
      <c r="M169" s="55" t="s">
        <v>25</v>
      </c>
      <c r="N169" s="55" t="s">
        <v>26</v>
      </c>
      <c r="O169" s="55" t="s">
        <v>27</v>
      </c>
      <c r="P169" s="55"/>
      <c r="Q169" s="55"/>
      <c r="R169" s="55" t="s">
        <v>28</v>
      </c>
      <c r="S169" s="111"/>
    </row>
    <row r="170" spans="1:44" x14ac:dyDescent="0.35">
      <c r="F170" s="33"/>
      <c r="G170" s="38"/>
      <c r="J170" s="33"/>
      <c r="K170" s="54" t="str">
        <f>A151</f>
        <v>1883-2021</v>
      </c>
      <c r="L170" s="54"/>
      <c r="M170" s="56">
        <f>_xlfn.STDEV.S(O3:O141)</f>
        <v>0.1616838738175633</v>
      </c>
      <c r="N170" s="39">
        <f>COUNTA(O3:O141)</f>
        <v>139</v>
      </c>
      <c r="O170" s="56">
        <f>M170/SQRT(N170)</f>
        <v>1.371384718798305E-2</v>
      </c>
      <c r="P170" s="56"/>
      <c r="Q170" s="56"/>
      <c r="R170" s="40">
        <f>O170*100</f>
        <v>1.371384718798305</v>
      </c>
      <c r="S170" s="112"/>
    </row>
    <row r="171" spans="1:44" x14ac:dyDescent="0.35">
      <c r="F171" s="33"/>
      <c r="G171" s="38"/>
      <c r="J171" s="33"/>
      <c r="K171" s="54" t="str">
        <f>A154</f>
        <v>1937-2021</v>
      </c>
      <c r="L171" s="54"/>
      <c r="M171" s="56">
        <f>_xlfn.STDEV.S(O57:O141)</f>
        <v>0.18851707072054244</v>
      </c>
      <c r="N171" s="39">
        <f>COUNT(O57:O141)</f>
        <v>85</v>
      </c>
      <c r="O171" s="56">
        <f>M171/SQRT(N171)</f>
        <v>2.0447547229019626E-2</v>
      </c>
      <c r="P171" s="56"/>
      <c r="Q171" s="56"/>
      <c r="R171" s="40">
        <f>O171*100</f>
        <v>2.0447547229019625</v>
      </c>
      <c r="S171" s="112"/>
    </row>
    <row r="172" spans="1:44" x14ac:dyDescent="0.35">
      <c r="F172" s="33"/>
      <c r="G172" s="38"/>
      <c r="J172" s="33"/>
      <c r="K172" s="54" t="str">
        <f>A157</f>
        <v>1958-2021</v>
      </c>
      <c r="L172" s="54"/>
      <c r="M172" s="56">
        <f>_xlfn.STDEV.S(O78:O141)</f>
        <v>0.20998519220235612</v>
      </c>
      <c r="N172" s="39">
        <f>COUNTA(O78:O141)</f>
        <v>64</v>
      </c>
      <c r="O172" s="56">
        <f>M172/SQRT(N172)</f>
        <v>2.6248149025294515E-2</v>
      </c>
      <c r="P172" s="56"/>
      <c r="Q172" s="56"/>
      <c r="R172" s="40">
        <f>O172*100</f>
        <v>2.6248149025294514</v>
      </c>
      <c r="S172" s="112"/>
    </row>
    <row r="173" spans="1:44" x14ac:dyDescent="0.35">
      <c r="F173" s="33"/>
      <c r="G173" s="38"/>
      <c r="J173" s="33"/>
      <c r="K173" s="54" t="str">
        <f>A160</f>
        <v>1980-2021</v>
      </c>
      <c r="L173" s="54"/>
      <c r="M173" s="56">
        <f>_xlfn.STDEV.S(O100:O141)</f>
        <v>0.20232589579568544</v>
      </c>
      <c r="N173" s="39">
        <f>COUNTA(O100:O141)</f>
        <v>42</v>
      </c>
      <c r="O173" s="56">
        <f>M173/SQRT(N173)</f>
        <v>3.1219563505355388E-2</v>
      </c>
      <c r="P173" s="56"/>
      <c r="Q173" s="56"/>
      <c r="R173" s="40">
        <f t="shared" ref="R173:R174" si="56">O173*100</f>
        <v>3.1219563505355388</v>
      </c>
      <c r="S173" s="112"/>
    </row>
    <row r="174" spans="1:44" x14ac:dyDescent="0.35">
      <c r="F174" s="33"/>
      <c r="G174" s="38"/>
      <c r="J174" s="33"/>
      <c r="K174" s="54" t="str">
        <f>A163</f>
        <v>1988-2021</v>
      </c>
      <c r="L174" s="54"/>
      <c r="M174" s="56">
        <f>_xlfn.STDEV.S(O108:O141)</f>
        <v>0.16358937925022957</v>
      </c>
      <c r="N174" s="39">
        <f>COUNTA(O108:O141)</f>
        <v>34</v>
      </c>
      <c r="O174" s="56">
        <f>M174/SQRT(N174)</f>
        <v>2.8055347085755661E-2</v>
      </c>
      <c r="P174" s="56"/>
      <c r="Q174" s="56"/>
      <c r="R174" s="40">
        <f t="shared" si="56"/>
        <v>2.805534708575566</v>
      </c>
      <c r="S174" s="112"/>
    </row>
    <row r="175" spans="1:44" x14ac:dyDescent="0.35">
      <c r="F175" s="33"/>
      <c r="G175" s="38"/>
      <c r="J175" s="33"/>
      <c r="K175" s="38" t="s">
        <v>32</v>
      </c>
      <c r="L175" s="38"/>
      <c r="N175" s="18"/>
    </row>
  </sheetData>
  <sortState xmlns:xlrd2="http://schemas.microsoft.com/office/spreadsheetml/2017/richdata2" ref="AR96:AS115">
    <sortCondition ref="AR96:AR115"/>
  </sortState>
  <customSheetViews>
    <customSheetView guid="{2E9D4B95-D3A5-4B88-BEE5-1085751D117B}">
      <pane xSplit="1" ySplit="2" topLeftCell="B123" activePane="bottomRight" state="frozen"/>
      <selection pane="bottomRight" activeCell="G136" sqref="G136"/>
      <pageMargins left="0.7" right="0.7" top="0.75" bottom="0.75" header="0.3" footer="0.3"/>
      <pageSetup paperSize="9" orientation="portrait" r:id="rId1"/>
    </customSheetView>
  </customSheetViews>
  <mergeCells count="5">
    <mergeCell ref="X163:AB163"/>
    <mergeCell ref="G147:J147"/>
    <mergeCell ref="A1:F1"/>
    <mergeCell ref="K147:R147"/>
    <mergeCell ref="K168:R168"/>
  </mergeCells>
  <pageMargins left="0.7" right="0.7" top="0.75" bottom="0.75" header="0.3" footer="0.3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FFC000"/>
  </sheetPr>
  <dimension ref="A2:F59"/>
  <sheetViews>
    <sheetView showGridLines="0" tabSelected="1" workbookViewId="0">
      <selection activeCell="B20" sqref="B20"/>
    </sheetView>
  </sheetViews>
  <sheetFormatPr defaultRowHeight="14.5" x14ac:dyDescent="0.35"/>
  <cols>
    <col min="2" max="2" width="38.81640625" customWidth="1"/>
    <col min="3" max="3" width="20.54296875" customWidth="1"/>
    <col min="4" max="4" width="14.26953125" bestFit="1" customWidth="1"/>
    <col min="5" max="5" width="14.26953125" style="1" customWidth="1"/>
    <col min="6" max="6" width="14.26953125" style="1" bestFit="1" customWidth="1"/>
  </cols>
  <sheetData>
    <row r="2" spans="2:4" ht="15.5" x14ac:dyDescent="0.35">
      <c r="B2" s="2" t="s">
        <v>50</v>
      </c>
    </row>
    <row r="3" spans="2:4" ht="30.75" customHeight="1" x14ac:dyDescent="0.35">
      <c r="B3" s="3" t="s">
        <v>29</v>
      </c>
      <c r="C3" s="4" t="s">
        <v>30</v>
      </c>
      <c r="D3" s="4" t="s">
        <v>31</v>
      </c>
    </row>
    <row r="4" spans="2:4" ht="21" customHeight="1" x14ac:dyDescent="0.35">
      <c r="B4" s="5" t="s">
        <v>88</v>
      </c>
      <c r="C4" s="7">
        <f>'BHM Rm, MRP Calculations '!R152*100</f>
        <v>6.316744122322218</v>
      </c>
      <c r="D4" s="7">
        <f>'BHM Rm, MRP Calculations '!O152*100</f>
        <v>5.0028786406848935</v>
      </c>
    </row>
    <row r="5" spans="2:4" ht="21" customHeight="1" x14ac:dyDescent="0.35">
      <c r="B5" s="6" t="s">
        <v>89</v>
      </c>
      <c r="C5" s="8">
        <f>'BHM Rm, MRP Calculations '!R155*100</f>
        <v>6.0648978553297885</v>
      </c>
      <c r="D5" s="8">
        <f>'BHM Rm, MRP Calculations '!O155*100</f>
        <v>4.311205136318863</v>
      </c>
    </row>
    <row r="6" spans="2:4" ht="21" customHeight="1" x14ac:dyDescent="0.35">
      <c r="B6" s="5" t="s">
        <v>90</v>
      </c>
      <c r="C6" s="7">
        <f>'BHM Rm, MRP Calculations '!R158*100</f>
        <v>6.541544264008178</v>
      </c>
      <c r="D6" s="7">
        <f>'BHM Rm, MRP Calculations '!O158*100</f>
        <v>4.3687035046166001</v>
      </c>
    </row>
    <row r="7" spans="2:4" ht="21" customHeight="1" x14ac:dyDescent="0.35">
      <c r="B7" s="6" t="s">
        <v>91</v>
      </c>
      <c r="C7" s="8">
        <f>'BHM Rm, MRP Calculations '!R161*100</f>
        <v>6.4927483296965978</v>
      </c>
      <c r="D7" s="8">
        <f>'BHM Rm, MRP Calculations '!O161*100</f>
        <v>4.4729853600211866</v>
      </c>
    </row>
    <row r="8" spans="2:4" ht="21" customHeight="1" x14ac:dyDescent="0.35">
      <c r="B8" s="5" t="s">
        <v>92</v>
      </c>
      <c r="C8" s="7">
        <f>'BHM Rm, MRP Calculations '!R164*100</f>
        <v>6.1371220458857447</v>
      </c>
      <c r="D8" s="7">
        <f>'BHM Rm, MRP Calculations '!O164*100</f>
        <v>4.7317433601986147</v>
      </c>
    </row>
    <row r="9" spans="2:4" s="1" customFormat="1" x14ac:dyDescent="0.35">
      <c r="B9"/>
      <c r="C9"/>
      <c r="D9"/>
    </row>
    <row r="10" spans="2:4" ht="15.5" x14ac:dyDescent="0.35">
      <c r="B10" s="2" t="s">
        <v>51</v>
      </c>
    </row>
    <row r="11" spans="2:4" ht="27" customHeight="1" x14ac:dyDescent="0.35">
      <c r="B11" s="3" t="s">
        <v>29</v>
      </c>
      <c r="C11" s="4" t="s">
        <v>30</v>
      </c>
      <c r="D11" s="4" t="s">
        <v>31</v>
      </c>
    </row>
    <row r="12" spans="2:4" ht="21" customHeight="1" x14ac:dyDescent="0.35">
      <c r="B12" s="5" t="s">
        <v>93</v>
      </c>
      <c r="C12" s="7">
        <f>'BHM Rm, MRP Calculations '!Z152*100</f>
        <v>6.6468419130690073</v>
      </c>
      <c r="D12" s="7">
        <f>'BHM Rm, MRP Calculations '!Y152*100</f>
        <v>4.3060844750061111</v>
      </c>
    </row>
    <row r="13" spans="2:4" ht="21" customHeight="1" x14ac:dyDescent="0.35">
      <c r="B13" s="6" t="s">
        <v>91</v>
      </c>
      <c r="C13" s="8">
        <f>'BHM Rm, MRP Calculations '!Z155*100</f>
        <v>6.7587655459240263</v>
      </c>
      <c r="D13" s="8">
        <f>'BHM Rm, MRP Calculations '!Y155*100</f>
        <v>4.7436502213645815</v>
      </c>
    </row>
    <row r="14" spans="2:4" ht="21" customHeight="1" x14ac:dyDescent="0.35">
      <c r="B14" s="5" t="s">
        <v>92</v>
      </c>
      <c r="C14" s="7">
        <f>'BHM Rm, MRP Calculations '!Z158*100</f>
        <v>6.4361791967842361</v>
      </c>
      <c r="D14" s="7">
        <f>'BHM Rm, MRP Calculations '!Y158*100</f>
        <v>5.0274647846124676</v>
      </c>
    </row>
    <row r="16" spans="2:4" s="1" customFormat="1" x14ac:dyDescent="0.35">
      <c r="B16" s="141" t="s">
        <v>94</v>
      </c>
    </row>
    <row r="17" spans="1:5" x14ac:dyDescent="0.35">
      <c r="A17" s="1"/>
      <c r="B17" s="142" t="s">
        <v>95</v>
      </c>
      <c r="C17" s="1"/>
      <c r="D17" s="1"/>
    </row>
    <row r="18" spans="1:5" x14ac:dyDescent="0.35">
      <c r="A18" s="1"/>
      <c r="B18" s="142" t="s">
        <v>96</v>
      </c>
      <c r="C18" s="1"/>
      <c r="D18" s="1"/>
    </row>
    <row r="19" spans="1:5" x14ac:dyDescent="0.35">
      <c r="A19" s="1"/>
      <c r="B19" s="1"/>
      <c r="C19" s="1"/>
      <c r="D19" s="1"/>
    </row>
    <row r="20" spans="1:5" x14ac:dyDescent="0.35">
      <c r="A20" s="1"/>
      <c r="B20" s="1"/>
      <c r="C20" s="1"/>
      <c r="D20" s="1"/>
    </row>
    <row r="21" spans="1:5" x14ac:dyDescent="0.35">
      <c r="A21" s="1"/>
      <c r="B21" s="1"/>
      <c r="C21" s="1"/>
      <c r="D21" s="1"/>
    </row>
    <row r="22" spans="1:5" x14ac:dyDescent="0.35">
      <c r="A22" s="1"/>
      <c r="B22" s="1"/>
      <c r="C22" s="1"/>
      <c r="D22" s="1"/>
    </row>
    <row r="23" spans="1:5" x14ac:dyDescent="0.35">
      <c r="A23" s="1"/>
      <c r="B23" s="1"/>
      <c r="C23" s="69"/>
      <c r="D23" s="1"/>
      <c r="E23" s="71"/>
    </row>
    <row r="24" spans="1:5" x14ac:dyDescent="0.35">
      <c r="A24" s="1"/>
      <c r="B24" s="1"/>
      <c r="C24" s="69"/>
      <c r="D24" s="1"/>
      <c r="E24" s="71"/>
    </row>
    <row r="25" spans="1:5" x14ac:dyDescent="0.35">
      <c r="A25" s="1"/>
      <c r="B25" s="1"/>
      <c r="C25" s="69"/>
      <c r="D25" s="1"/>
      <c r="E25" s="71"/>
    </row>
    <row r="26" spans="1:5" x14ac:dyDescent="0.35">
      <c r="B26" s="1"/>
      <c r="E26" s="70"/>
    </row>
    <row r="49" spans="2:4" x14ac:dyDescent="0.35">
      <c r="B49" s="1"/>
      <c r="C49" s="1"/>
      <c r="D49" s="1"/>
    </row>
    <row r="50" spans="2:4" x14ac:dyDescent="0.35">
      <c r="B50" s="1"/>
      <c r="C50" s="1"/>
      <c r="D50" s="1"/>
    </row>
    <row r="51" spans="2:4" x14ac:dyDescent="0.35">
      <c r="B51" s="1"/>
      <c r="C51" s="1"/>
      <c r="D51" s="1"/>
    </row>
    <row r="52" spans="2:4" x14ac:dyDescent="0.35">
      <c r="B52" s="1"/>
      <c r="C52" s="1"/>
      <c r="D52" s="1"/>
    </row>
    <row r="53" spans="2:4" x14ac:dyDescent="0.35">
      <c r="B53" s="1"/>
      <c r="C53" s="1"/>
      <c r="D53" s="1"/>
    </row>
    <row r="54" spans="2:4" x14ac:dyDescent="0.35">
      <c r="B54" s="1"/>
      <c r="C54" s="1"/>
      <c r="D54" s="1"/>
    </row>
    <row r="55" spans="2:4" x14ac:dyDescent="0.35">
      <c r="B55" s="1"/>
      <c r="C55" s="1"/>
      <c r="D55" s="1"/>
    </row>
    <row r="56" spans="2:4" x14ac:dyDescent="0.35">
      <c r="B56" s="1"/>
      <c r="C56" s="1"/>
      <c r="D56" s="1"/>
    </row>
    <row r="57" spans="2:4" x14ac:dyDescent="0.35">
      <c r="B57" s="1"/>
      <c r="C57" s="1"/>
      <c r="D57" s="1"/>
    </row>
    <row r="58" spans="2:4" x14ac:dyDescent="0.35">
      <c r="B58" s="1"/>
      <c r="C58" s="1"/>
      <c r="D58" s="1"/>
    </row>
    <row r="59" spans="2:4" x14ac:dyDescent="0.35">
      <c r="B59" s="1"/>
      <c r="C59" s="1"/>
      <c r="D5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Consolidated underlying data</vt:lpstr>
      <vt:lpstr>BHM Rm, MRP Calculations </vt:lpstr>
      <vt:lpstr>Display Tables</vt:lpstr>
      <vt:lpstr>'Display Tables'!_Ref443916669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gcunn</dc:creator>
  <cp:lastModifiedBy>Machado, Antony</cp:lastModifiedBy>
  <cp:lastPrinted>2020-09-08T02:39:28Z</cp:lastPrinted>
  <dcterms:created xsi:type="dcterms:W3CDTF">2013-09-11T06:17:52Z</dcterms:created>
  <dcterms:modified xsi:type="dcterms:W3CDTF">2022-11-02T06:02:03Z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f">
    <vt:lpwstr>\\cdchnas-evs02\home$\scjohn\aer - wacc - historical excess returns and wright approach - to end 2016 (D2017-00039452).xlsx</vt:lpwstr>
  </property>
  <property fmtid="{D5CDD505-2E9C-101B-9397-08002B2CF9AE}" pid="3" name="URI">
    <vt:lpwstr>8900004</vt:lpwstr>
  </property>
  <property fmtid="{D5CDD505-2E9C-101B-9397-08002B2CF9AE}" pid="4" name="currfile">
    <vt:lpwstr>\\cdchnas-evs02\home$\scjohn\aer - wacc - historical excess returns and wright approach - april 2017 (D2017-00067696).xlsx</vt:lpwstr>
  </property>
</Properties>
</file>